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19440" windowHeight="1086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<sst xmlns="http://schemas.openxmlformats.org/spreadsheetml/2006/main" count="406" uniqueCount="375">
  <si>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</si>
  <si>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</si>
  <si>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</si>
  <si>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</si>
  <si>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</si>
  <si>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</si>
  <si>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</si>
  <si>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</si>
  <si>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</si>
  <si>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</si>
  <si>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</si>
  <si>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</si>
  <si>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</si>
  <si>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</si>
  <si>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</si>
  <si>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</si>
  <si>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</si>
  <si>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</si>
  <si>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</si>
  <si>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</si>
  <si>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</si>
  <si>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</si>
  <si>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</si>
  <si>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</si>
  <si>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</si>
  <si>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</si>
  <si>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</si>
  <si>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</si>
  <si>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</si>
  <si>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</si>
  <si>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</si>
  <si>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</si>
  <si>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</si>
  <si>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</si>
  <si>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</si>
  <si>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</si>
  <si>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</si>
  <si>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</si>
  <si>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</si>
  <si>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</si>
  <si>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</si>
  <si>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</si>
  <si>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</si>
  <si>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</si>
  <si>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</si>
  <si>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</si>
  <si>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</si>
  <si>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</si>
  <si>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</si>
  <si>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</si>
  <si>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</si>
  <si>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</si>
  <si>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</si>
  <si>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</si>
  <si>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</si>
  <si>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</si>
  <si>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</si>
  <si>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</si>
  <si>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</si>
  <si>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</si>
  <si>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</si>
  <si>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</si>
  <si>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</si>
  <si>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</si>
  <si>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</si>
  <si>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</si>
  <si>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</si>
  <si>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</si>
  <si>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</si>
  <si>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</si>
  <si>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</si>
  <si>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</si>
  <si>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</si>
  <si>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</si>
  <si>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</si>
  <si>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</si>
  <si>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</si>
  <si>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</si>
  <si>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</si>
  <si>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</si>
  <si>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</si>
  <si>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</si>
  <si>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</si>
  <si>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</si>
  <si>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</si>
  <si>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</si>
  <si>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</si>
  <si>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</si>
  <si>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</si>
  <si>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</si>
  <si>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</si>
  <si>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</si>
  <si>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</si>
  <si>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</si>
  <si>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</si>
  <si>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</si>
  <si>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</si>
  <si>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</si>
  <si>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</si>
  <si>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</si>
  <si>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</si>
  <si>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</si>
  <si>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</si>
  <si>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</si>
  <si>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</si>
  <si>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</si>
  <si>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</si>
  <si>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</si>
  <si>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</si>
  <si>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</si>
  <si>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</si>
  <si>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</si>
  <si>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</si>
  <si>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</si>
  <si>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</si>
  <si>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</si>
  <si>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</si>
  <si>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</si>
  <si>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</si>
  <si>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</si>
  <si>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</si>
  <si>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</si>
  <si>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</si>
  <si>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</si>
  <si>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</si>
  <si>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</si>
  <si>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</si>
  <si>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</si>
  <si>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</si>
  <si>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</si>
  <si>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</si>
  <si>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</si>
  <si>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</si>
  <si>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</si>
  <si>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</si>
  <si>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</si>
  <si>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</si>
  <si>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</si>
  <si>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</si>
  <si>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</si>
  <si>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</si>
  <si>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</si>
  <si>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</si>
  <si>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</si>
  <si>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</si>
  <si>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</si>
  <si>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</si>
  <si>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</si>
  <si>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</si>
  <si>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</si>
  <si>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</si>
  <si>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</si>
  <si>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</si>
  <si>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</si>
  <si>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</si>
  <si>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</si>
  <si>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</si>
  <si>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</si>
  <si>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</si>
  <si>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</si>
  <si>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</si>
  <si>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</si>
  <si>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</si>
  <si>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</si>
  <si>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</si>
  <si>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</si>
  <si>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</si>
  <si>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</si>
  <si>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</si>
  <si>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</si>
  <si>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</si>
  <si>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</si>
  <si>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</si>
  <si>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</si>
  <si>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</si>
  <si>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</si>
  <si>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</si>
  <si>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</si>
  <si>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</si>
  <si>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</si>
  <si>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</si>
  <si>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</si>
  <si>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</si>
  <si>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</si>
  <si>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</si>
  <si>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</si>
  <si>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</si>
  <si>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</si>
  <si>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</si>
  <si>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</si>
  <si>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</si>
  <si>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</si>
  <si>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</si>
  <si>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</si>
  <si>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</si>
  <si>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</si>
  <si>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</si>
  <si>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</si>
  <si>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</si>
  <si>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</si>
  <si>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</si>
  <si>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</si>
  <si>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</si>
  <si>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</si>
  <si>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</si>
  <si>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</si>
  <si>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</si>
  <si>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</si>
  <si>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</si>
  <si>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</si>
  <si>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</si>
  <si>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</si>
  <si>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</si>
  <si>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</si>
  <si>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</si>
  <si>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</si>
  <si>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</si>
  <si>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</si>
  <si>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</si>
  <si>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</si>
  <si>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</si>
  <si>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</si>
  <si>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</si>
  <si>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</si>
  <si>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</si>
  <si>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</si>
  <si>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</si>
  <si>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</si>
  <si>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</si>
  <si>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</si>
  <si>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</si>
  <si>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</si>
  <si>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</si>
  <si>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</si>
  <si>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</si>
  <si>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</si>
  <si>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</si>
  <si>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</si>
  <si>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</si>
  <si>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</si>
  <si>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</si>
  <si>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</si>
  <si>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</si>
  <si>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</si>
  <si>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</si>
  <si>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</si>
  <si>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</si>
  <si>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</si>
  <si>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</si>
  <si>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</si>
  <si>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</si>
  <si>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</si>
  <si>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</si>
  <si>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</si>
  <si>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</si>
  <si>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</si>
  <si>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</si>
  <si>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</si>
  <si>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</si>
  <si>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</si>
  <si>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</si>
  <si>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</si>
  <si>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</si>
  <si>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</si>
  <si>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</si>
  <si>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</si>
  <si>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</si>
  <si>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</si>
  <si>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</si>
  <si>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</si>
  <si>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</si>
  <si>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</si>
  <si>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</si>
  <si>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</si>
  <si>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</si>
  <si>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</si>
  <si>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</si>
  <si>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</si>
  <si>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</si>
  <si>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</si>
  <si>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</si>
  <si>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</si>
  <si>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</si>
  <si>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</si>
  <si>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</si>
  <si>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</si>
  <si>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</si>
  <si>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</si>
  <si>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</si>
  <si>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</si>
  <si>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</si>
  <si>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</si>
  <si>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</si>
  <si>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</si>
  <si>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</si>
  <si>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</si>
  <si>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</si>
  <si>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</si>
  <si>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</si>
  <si>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</si>
  <si>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</si>
  <si>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</si>
  <si>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</si>
  <si>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</si>
  <si>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</si>
  <si>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</si>
  <si>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</si>
  <si>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</si>
  <si>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</si>
  <si>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</si>
  <si>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</si>
  <si>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</si>
  <si>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</si>
  <si>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</si>
  <si>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</si>
  <si>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</si>
  <si>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</si>
  <si>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</si>
  <si>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</si>
  <si>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</si>
  <si>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</si>
  <si>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</si>
  <si>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</si>
  <si>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</si>
  <si>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</si>
  <si>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</si>
  <si>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</si>
  <si>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</si>
  <si>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</si>
  <si>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</si>
  <si>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</si>
  <si>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</si>
  <si>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</si>
  <si>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</si>
  <si>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</si>
  <si>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</si>
  <si>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</si>
  <si>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</si>
  <si>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</si>
  <si>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</si>
  <si>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</si>
  <si>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</si>
  <si>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</si>
  <si>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</si>
  <si>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</si>
  <si>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</si>
  <si>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</si>
  <si>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</si>
  <si>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</si>
  <si>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</si>
  <si>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</si>
  <si>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</si>
  <si>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</si>
  <si>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</si>
  <si>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</si>
  <si>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</si>
  <si>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</si>
  <si>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</si>
  <si>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</si>
  <si>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</si>
  <si>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</si>
  <si>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CASA DE ASIGURARI  DE SANATATE   BISTRITA - NASAUD</t>
  </si>
  <si>
    <t>Ec. Ilisuan  Camelia</t>
  </si>
  <si>
    <t>Director  economic</t>
  </si>
  <si>
    <t xml:space="preserve">  Ec. Ratiu  Mircea</t>
  </si>
  <si>
    <t>CASA  DE ASIGURARI  DE SANATATE  BISTRITA - NASAUD</t>
  </si>
  <si>
    <t>PRESEDINTE - DIRECTOR  GENERAL</t>
  </si>
  <si>
    <t>DIRECTOR  ECONOMIC</t>
  </si>
  <si>
    <t xml:space="preserve">    Ec.  ILISUAN  CAMELIA</t>
  </si>
  <si>
    <t>Ec. RATIU  MIRCEA</t>
  </si>
  <si>
    <t>CONT DE EXECUTIE VENITURI  IUNIE     2016</t>
  </si>
  <si>
    <t>CONT DE EXECUTIE CHELTUIELI  IUNIE    2016</t>
  </si>
  <si>
    <t xml:space="preserve"> v v </t>
  </si>
  <si>
    <t>Nr    12558     /  12.07.2016</t>
  </si>
  <si>
    <t xml:space="preserve">Nr.  12558     /  12.07.2016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</si>
</sst>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6">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0" fontId="23" fillId="0" borderId="0" xfId="0" applyFont="1" applyFill="1" applyAlignment="1">
      <alignment wrapText="1"/>
    </xf>
    <xf numFmtId="4" fontId="23" fillId="0" borderId="0" xfId="0" applyNumberFormat="1" applyFont="1" applyFill="1" applyAlignment="1">
      <alignment/>
    </xf>
    <xf numFmtId="0" fontId="34" fillId="0" borderId="0" xfId="0" applyFont="1" applyFill="1" applyAlignment="1">
      <alignment wrapText="1"/>
    </xf>
    <xf numFmtId="0" fontId="34" fillId="0" borderId="0" xfId="0" applyFont="1" applyFill="1" applyAlignment="1">
      <alignment/>
    </xf>
    <xf numFmtId="4" fontId="34" fillId="0" borderId="0" xfId="0" applyNumberFormat="1" applyFont="1" applyFill="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1"/>
  <sheetViews>
    <sheetView tabSelected="1"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F22" sqref="F22"/>
    </sheetView>
  </sheetViews>
  <sheetFormatPr defaultColWidth="9.140625" defaultRowHeight="12.75"/>
  <cols>
    <col min="1" max="1" width="10.28125" style="1" bestFit="1" customWidth="1"/>
    <col min="2" max="2" width="57.57421875" style="9" customWidth="1"/>
    <col min="3" max="3" width="14.00390625" style="34" customWidth="1"/>
    <col min="4" max="4" width="11.28125" style="34"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361</v>
      </c>
    </row>
    <row r="2" ht="12.75">
      <c r="B2" s="12" t="s">
        <v>374</v>
      </c>
    </row>
    <row r="4" spans="2:133" ht="18.75">
      <c r="B4" s="14" t="s">
        <v>370</v>
      </c>
      <c r="C4" s="15"/>
      <c r="D4" s="1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6"/>
      <c r="C5" s="15"/>
      <c r="D5" s="1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7"/>
      <c r="C6" s="2"/>
      <c r="D6" s="2"/>
      <c r="E6" s="2"/>
      <c r="F6" s="2"/>
      <c r="FC6" s="18"/>
    </row>
    <row r="7" spans="2:159" ht="12.75" customHeight="1">
      <c r="B7" s="3"/>
      <c r="C7" s="20"/>
      <c r="D7" s="20"/>
      <c r="E7" s="2"/>
      <c r="F7" s="21" t="s">
        <v>0</v>
      </c>
      <c r="G7" s="22"/>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5"/>
      <c r="EF7" s="125"/>
      <c r="EG7" s="125"/>
      <c r="EH7" s="125"/>
      <c r="EI7" s="125"/>
      <c r="EJ7" s="122"/>
      <c r="EK7" s="122"/>
      <c r="EL7" s="122"/>
      <c r="EM7" s="122"/>
      <c r="EN7" s="122"/>
      <c r="EO7" s="122"/>
      <c r="EP7" s="122"/>
      <c r="EQ7" s="122"/>
      <c r="ER7" s="122"/>
      <c r="ES7" s="122"/>
      <c r="ET7" s="122"/>
      <c r="EU7" s="122"/>
      <c r="EV7" s="122"/>
      <c r="EW7" s="122"/>
      <c r="EX7" s="122"/>
      <c r="EY7" s="122"/>
      <c r="EZ7" s="122"/>
      <c r="FA7" s="122"/>
      <c r="FB7" s="122"/>
      <c r="FC7" s="122"/>
    </row>
    <row r="8" spans="1:172" s="25" customFormat="1" ht="76.5">
      <c r="A8" s="36" t="s">
        <v>1</v>
      </c>
      <c r="B8" s="36" t="s">
        <v>2</v>
      </c>
      <c r="C8" s="36" t="s">
        <v>3</v>
      </c>
      <c r="D8" s="37" t="s">
        <v>4</v>
      </c>
      <c r="E8" s="36" t="s">
        <v>5</v>
      </c>
      <c r="F8" s="36" t="s">
        <v>6</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19"/>
      <c r="FE8" s="19"/>
      <c r="FF8" s="19"/>
      <c r="FG8" s="19"/>
      <c r="FH8" s="19"/>
      <c r="FI8" s="19"/>
      <c r="FJ8" s="19"/>
      <c r="FK8" s="19"/>
      <c r="FL8" s="19"/>
      <c r="FM8" s="19"/>
      <c r="FN8" s="19"/>
      <c r="FO8" s="19"/>
      <c r="FP8" s="19"/>
    </row>
    <row r="9" spans="1:172" s="28" customFormat="1" ht="12.75">
      <c r="A9" s="38"/>
      <c r="B9" s="39"/>
      <c r="C9" s="55">
        <v>1</v>
      </c>
      <c r="D9" s="38" t="s">
        <v>140</v>
      </c>
      <c r="E9" s="55">
        <v>2</v>
      </c>
      <c r="F9" s="38" t="s">
        <v>7</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7"/>
      <c r="FE9" s="27"/>
      <c r="FF9" s="27"/>
      <c r="FG9" s="27"/>
      <c r="FH9" s="27"/>
      <c r="FI9" s="27"/>
      <c r="FJ9" s="27"/>
      <c r="FK9" s="27"/>
      <c r="FL9" s="27"/>
      <c r="FM9" s="27"/>
      <c r="FN9" s="27"/>
      <c r="FO9" s="27"/>
      <c r="FP9" s="27"/>
    </row>
    <row r="10" spans="1:161" ht="12.75">
      <c r="A10" s="40" t="s">
        <v>8</v>
      </c>
      <c r="B10" s="41" t="s">
        <v>9</v>
      </c>
      <c r="C10" s="10">
        <f>+C11+C57</f>
        <v>144449.09</v>
      </c>
      <c r="D10" s="10">
        <f>+D11+D57</f>
        <v>61699.09</v>
      </c>
      <c r="E10" s="10">
        <f>+E11+E57</f>
        <v>60440.69999999999</v>
      </c>
      <c r="F10" s="10">
        <f>+F11+F57</f>
        <v>10107.169999999998</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0" t="s">
        <v>10</v>
      </c>
      <c r="B11" s="41" t="s">
        <v>11</v>
      </c>
      <c r="C11" s="10">
        <f>+C16+C44+C12</f>
        <v>138021</v>
      </c>
      <c r="D11" s="10">
        <f>+D16+D44+D12</f>
        <v>56784</v>
      </c>
      <c r="E11" s="10">
        <f>+E16+E44+E12</f>
        <v>59180.05999999999</v>
      </c>
      <c r="F11" s="10">
        <f>+F16+F44+F12</f>
        <v>9900.589999999998</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12</v>
      </c>
      <c r="B12" s="41" t="s">
        <v>13</v>
      </c>
      <c r="C12" s="10">
        <f>+C13+C14+C15</f>
        <v>0</v>
      </c>
      <c r="D12" s="10">
        <f>+D13+D14+D15</f>
        <v>0</v>
      </c>
      <c r="E12" s="10">
        <f>+E13+E14+E15</f>
        <v>0</v>
      </c>
      <c r="F12" s="10">
        <f>+F13+F14+F15</f>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0" t="s">
        <v>14</v>
      </c>
      <c r="B13" s="41"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0" t="s">
        <v>16</v>
      </c>
      <c r="B14" s="41"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c r="B15" s="106" t="s">
        <v>346</v>
      </c>
      <c r="C15" s="10"/>
      <c r="D15" s="7"/>
      <c r="E15" s="10"/>
      <c r="F15" s="10"/>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0" t="s">
        <v>18</v>
      </c>
      <c r="B16" s="41" t="s">
        <v>19</v>
      </c>
      <c r="C16" s="10">
        <f>+C17+C25</f>
        <v>137811</v>
      </c>
      <c r="D16" s="10">
        <f>+D17+D25</f>
        <v>56727</v>
      </c>
      <c r="E16" s="10">
        <f>+E17+E25</f>
        <v>58944.31999999999</v>
      </c>
      <c r="F16" s="10">
        <f>+F17+F25</f>
        <v>9883.529999999999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0" t="s">
        <v>20</v>
      </c>
      <c r="B17" s="41" t="s">
        <v>21</v>
      </c>
      <c r="C17" s="10">
        <f>+C18</f>
        <v>65482</v>
      </c>
      <c r="D17" s="10">
        <f>+D18</f>
        <v>27073</v>
      </c>
      <c r="E17" s="10">
        <f>+E18</f>
        <v>27691.32</v>
      </c>
      <c r="F17" s="10">
        <f>+F18</f>
        <v>4529.67</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0" t="s">
        <v>22</v>
      </c>
      <c r="B18" s="41" t="s">
        <v>23</v>
      </c>
      <c r="C18" s="10">
        <f>C19+C20+C22+C23+C24+C21</f>
        <v>65482</v>
      </c>
      <c r="D18" s="10">
        <f>D19+D20+D22+D23+D24+D21</f>
        <v>27073</v>
      </c>
      <c r="E18" s="10">
        <f>E19+E20+E22+E23+E24+E21</f>
        <v>27691.32</v>
      </c>
      <c r="F18" s="10">
        <f>F19+F20+F22+F23+F24+F21</f>
        <v>4529.67</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2" t="s">
        <v>24</v>
      </c>
      <c r="B19" s="43" t="s">
        <v>25</v>
      </c>
      <c r="C19" s="10">
        <f>64459+657+366</f>
        <v>65482</v>
      </c>
      <c r="D19" s="7">
        <f>13887+12820+366</f>
        <v>27073</v>
      </c>
      <c r="E19" s="7">
        <f>4722.72+3505.48+3637.37+3692.02+3886.5+3811.42</f>
        <v>23255.510000000002</v>
      </c>
      <c r="F19" s="7">
        <v>3811.42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2" t="s">
        <v>26</v>
      </c>
      <c r="B20" s="43" t="s">
        <v>27</v>
      </c>
      <c r="C20" s="10"/>
      <c r="D20" s="7"/>
      <c r="E20" s="7">
        <f>52.28+56.28+52.63+52.26+43.99+39.77</f>
        <v>297.21</v>
      </c>
      <c r="F20" s="7">
        <v>39.77</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2" t="s">
        <v>28</v>
      </c>
      <c r="B21" s="43" t="s">
        <v>29</v>
      </c>
      <c r="C21" s="10"/>
      <c r="D21" s="7"/>
      <c r="E21" s="7"/>
      <c r="F21" s="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2" t="s">
        <v>30</v>
      </c>
      <c r="B22" s="43" t="s">
        <v>31</v>
      </c>
      <c r="C22" s="10"/>
      <c r="D22" s="7"/>
      <c r="E22" s="7">
        <f>724.8+0.25+271.11+267.09+765.25+306.85+452.37+281.91+390.49+284.54+393.94</f>
        <v>4138.599999999999</v>
      </c>
      <c r="F22" s="7">
        <f>284.54+393.94</f>
        <v>678.48</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32</v>
      </c>
      <c r="B23" s="43" t="s">
        <v>33</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3.5" customHeight="1">
      <c r="A24" s="42" t="s">
        <v>34</v>
      </c>
      <c r="B24" s="44" t="s">
        <v>35</v>
      </c>
      <c r="C24" s="10"/>
      <c r="D24" s="7"/>
      <c r="E24" s="7"/>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12.75">
      <c r="A25" s="40" t="s">
        <v>36</v>
      </c>
      <c r="B25" s="41" t="s">
        <v>37</v>
      </c>
      <c r="C25" s="10">
        <f>C26+C32+C43+C33+C34+C35+C36+C37+C38+C39+C40+C41+C42</f>
        <v>72329</v>
      </c>
      <c r="D25" s="10">
        <f>D26+D32+D43+D33+D34+D35+D36+D37+D38+D39+D40+D41+D42</f>
        <v>29654</v>
      </c>
      <c r="E25" s="10">
        <f>E26+E32+E43+E33+E34+E35+E36+E37+E38+E39+E40+E41+E42</f>
        <v>31252.999999999996</v>
      </c>
      <c r="F25" s="10">
        <f>F26+F32+F43+F33+F34+F35+F36+F37+F38+F39+F40+F41+F42</f>
        <v>5353.86</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0" t="s">
        <v>38</v>
      </c>
      <c r="B26" s="41" t="s">
        <v>39</v>
      </c>
      <c r="C26" s="10">
        <f>C27+C28+C29+C30+C31</f>
        <v>70761</v>
      </c>
      <c r="D26" s="10">
        <f>D27+D28+D29+D30+D31</f>
        <v>28914</v>
      </c>
      <c r="E26" s="10">
        <f>E27+E28+E29+E30+E31</f>
        <v>30560.190000000002</v>
      </c>
      <c r="F26" s="10">
        <f>F27+F28+F29+F30+F31</f>
        <v>5199.179999999999</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5.5">
      <c r="A27" s="42" t="s">
        <v>40</v>
      </c>
      <c r="B27" s="43" t="s">
        <v>41</v>
      </c>
      <c r="C27" s="10">
        <v>70761</v>
      </c>
      <c r="D27" s="7">
        <f>14346+14568</f>
        <v>28914</v>
      </c>
      <c r="E27" s="7">
        <f>5038.48+3689.16+3782.26+4401.64+3601.31+3966.08</f>
        <v>24478.93</v>
      </c>
      <c r="F27" s="7">
        <v>3966.08</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45">
      <c r="A28" s="42" t="s">
        <v>42</v>
      </c>
      <c r="B28" s="45" t="s">
        <v>43</v>
      </c>
      <c r="C28" s="10"/>
      <c r="D28" s="7"/>
      <c r="E28" s="7">
        <f>504.48+343.99+881.6+289.56+294.47+742.83</f>
        <v>3056.9300000000003</v>
      </c>
      <c r="F28" s="7">
        <v>742.83</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7.75" customHeight="1">
      <c r="A29" s="42" t="s">
        <v>44</v>
      </c>
      <c r="B29" s="43" t="s">
        <v>45</v>
      </c>
      <c r="C29" s="10"/>
      <c r="D29" s="7"/>
      <c r="E29" s="7">
        <f>0.3+1.51+0.22+0.42+0.65+0.23</f>
        <v>3.33</v>
      </c>
      <c r="F29" s="7">
        <v>0.23</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2" t="s">
        <v>46</v>
      </c>
      <c r="B30" s="43" t="s">
        <v>47</v>
      </c>
      <c r="C30" s="10"/>
      <c r="D30" s="7"/>
      <c r="E30" s="7">
        <f>590.3+480.64+484.55+490.04+485.43+490.04</f>
        <v>3021</v>
      </c>
      <c r="F30" s="7">
        <v>490.04</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2" t="s">
        <v>48</v>
      </c>
      <c r="B31" s="43" t="s">
        <v>49</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12.75">
      <c r="A32" s="42" t="s">
        <v>50</v>
      </c>
      <c r="B32" s="43" t="s">
        <v>51</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24">
      <c r="A33" s="42" t="s">
        <v>52</v>
      </c>
      <c r="B33" s="46" t="s">
        <v>53</v>
      </c>
      <c r="C33" s="10"/>
      <c r="D33" s="7"/>
      <c r="E33" s="7"/>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2" t="s">
        <v>54</v>
      </c>
      <c r="B34" s="43" t="s">
        <v>55</v>
      </c>
      <c r="C34" s="10">
        <v>4</v>
      </c>
      <c r="D34" s="7">
        <v>3</v>
      </c>
      <c r="E34" s="7">
        <f>0.3-0.07+0.02+0.48+1.06+0.01</f>
        <v>1.8</v>
      </c>
      <c r="F34" s="7">
        <v>0.01</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51">
      <c r="A35" s="42" t="s">
        <v>56</v>
      </c>
      <c r="B35" s="43" t="s">
        <v>57</v>
      </c>
      <c r="C35" s="10">
        <v>815</v>
      </c>
      <c r="D35" s="7">
        <f>166+168</f>
        <v>334</v>
      </c>
      <c r="E35" s="7">
        <f>80.23+8.87+18.14+18.43+16.64+11.13</f>
        <v>153.44</v>
      </c>
      <c r="F35" s="7">
        <v>11.13</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2" t="s">
        <v>58</v>
      </c>
      <c r="B36" s="43" t="s">
        <v>59</v>
      </c>
      <c r="C36" s="10"/>
      <c r="D36" s="7"/>
      <c r="E36" s="7">
        <v>0.41</v>
      </c>
      <c r="F36" s="7">
        <v>0.41</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2" t="s">
        <v>60</v>
      </c>
      <c r="B37" s="43" t="s">
        <v>61</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2" t="s">
        <v>62</v>
      </c>
      <c r="B38" s="43" t="s">
        <v>63</v>
      </c>
      <c r="C38" s="10"/>
      <c r="D38" s="7"/>
      <c r="E38" s="7">
        <v>0.46</v>
      </c>
      <c r="F38" s="7">
        <v>0</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8.25">
      <c r="A39" s="42" t="s">
        <v>64</v>
      </c>
      <c r="B39" s="43" t="s">
        <v>65</v>
      </c>
      <c r="C39" s="10"/>
      <c r="D39" s="7"/>
      <c r="E39" s="7"/>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25.5">
      <c r="A40" s="42" t="s">
        <v>66</v>
      </c>
      <c r="B40" s="43" t="s">
        <v>67</v>
      </c>
      <c r="C40" s="10">
        <v>15</v>
      </c>
      <c r="D40" s="7">
        <f>11+2</f>
        <v>13</v>
      </c>
      <c r="E40" s="7">
        <f>20.92+1.13+1.11+0.16-3.35+0.15</f>
        <v>20.119999999999997</v>
      </c>
      <c r="F40" s="7">
        <v>0.15</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30" customHeight="1">
      <c r="A41" s="42" t="s">
        <v>68</v>
      </c>
      <c r="B41" s="43" t="s">
        <v>69</v>
      </c>
      <c r="C41" s="10">
        <v>734</v>
      </c>
      <c r="D41" s="7">
        <f>184+206</f>
        <v>390</v>
      </c>
      <c r="E41" s="7">
        <f>43.76+24.94+139.97+38.58+25.63+98.72</f>
        <v>371.6</v>
      </c>
      <c r="F41" s="7">
        <v>98.72</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30" customHeight="1">
      <c r="A42" s="42"/>
      <c r="B42" s="43" t="s">
        <v>70</v>
      </c>
      <c r="C42" s="10"/>
      <c r="D42" s="7"/>
      <c r="E42" s="7">
        <f>10.9+34.13+13.5+20.89+21.3+44.26</f>
        <v>144.98</v>
      </c>
      <c r="F42" s="7">
        <v>44.26</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71</v>
      </c>
      <c r="B43" s="43" t="s">
        <v>72</v>
      </c>
      <c r="C43" s="10"/>
      <c r="D43" s="7"/>
      <c r="E43" s="7"/>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73</v>
      </c>
      <c r="B44" s="41" t="s">
        <v>74</v>
      </c>
      <c r="C44" s="10">
        <f>+C45+C50</f>
        <v>210</v>
      </c>
      <c r="D44" s="10">
        <f>+D45+D50</f>
        <v>57</v>
      </c>
      <c r="E44" s="10">
        <f>+E45+E50</f>
        <v>235.74</v>
      </c>
      <c r="F44" s="10">
        <f>+F45+F50</f>
        <v>17.06</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75</v>
      </c>
      <c r="B45" s="41" t="s">
        <v>76</v>
      </c>
      <c r="C45" s="10">
        <f>+C46+C48</f>
        <v>0</v>
      </c>
      <c r="D45" s="10">
        <f>+D46+D48</f>
        <v>0</v>
      </c>
      <c r="E45" s="10">
        <f>+E46+E48</f>
        <v>0</v>
      </c>
      <c r="F45" s="10">
        <f>+F46+F48</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0" t="s">
        <v>77</v>
      </c>
      <c r="B46" s="41" t="s">
        <v>78</v>
      </c>
      <c r="C46" s="10">
        <f>+C47</f>
        <v>0</v>
      </c>
      <c r="D46" s="10">
        <f>+D47</f>
        <v>0</v>
      </c>
      <c r="E46" s="10">
        <f>+E47</f>
        <v>0</v>
      </c>
      <c r="F46" s="10">
        <f>+F47</f>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2" t="s">
        <v>79</v>
      </c>
      <c r="B47" s="43" t="s">
        <v>80</v>
      </c>
      <c r="C47" s="10"/>
      <c r="D47" s="7"/>
      <c r="E47" s="7"/>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0" t="s">
        <v>81</v>
      </c>
      <c r="B48" s="41" t="s">
        <v>82</v>
      </c>
      <c r="C48" s="10">
        <f>+C49</f>
        <v>0</v>
      </c>
      <c r="D48" s="10">
        <f>+D49</f>
        <v>0</v>
      </c>
      <c r="E48" s="10">
        <f>+E49</f>
        <v>0</v>
      </c>
      <c r="F48" s="10">
        <f>+F49</f>
        <v>0</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2" t="s">
        <v>83</v>
      </c>
      <c r="B49" s="43" t="s">
        <v>84</v>
      </c>
      <c r="C49" s="10"/>
      <c r="D49" s="7"/>
      <c r="E49" s="7"/>
      <c r="F49" s="7"/>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72" s="12" customFormat="1" ht="12.75">
      <c r="A50" s="47" t="s">
        <v>85</v>
      </c>
      <c r="B50" s="41" t="s">
        <v>86</v>
      </c>
      <c r="C50" s="10">
        <f>+C51+C55</f>
        <v>210</v>
      </c>
      <c r="D50" s="10">
        <f>+D51+D55</f>
        <v>57</v>
      </c>
      <c r="E50" s="10">
        <f>+E51+E55</f>
        <v>235.74</v>
      </c>
      <c r="F50" s="10">
        <f>+F51+F55</f>
        <v>17.06</v>
      </c>
      <c r="G50" s="35"/>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11"/>
      <c r="FG50" s="11"/>
      <c r="FH50" s="11"/>
      <c r="FI50" s="11"/>
      <c r="FJ50" s="11"/>
      <c r="FK50" s="11"/>
      <c r="FL50" s="11"/>
      <c r="FM50" s="11"/>
      <c r="FN50" s="11"/>
      <c r="FO50" s="11"/>
      <c r="FP50" s="11"/>
    </row>
    <row r="51" spans="1:161" ht="12.75">
      <c r="A51" s="40" t="s">
        <v>87</v>
      </c>
      <c r="B51" s="41" t="s">
        <v>88</v>
      </c>
      <c r="C51" s="10">
        <f>C54+C52+C53</f>
        <v>210</v>
      </c>
      <c r="D51" s="10">
        <f>D54+D52+D53</f>
        <v>57</v>
      </c>
      <c r="E51" s="10">
        <f>E54+E52+E53</f>
        <v>235.74</v>
      </c>
      <c r="F51" s="10">
        <f>F54+F52+F53</f>
        <v>17.06</v>
      </c>
      <c r="G51" s="35"/>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105" t="s">
        <v>348</v>
      </c>
      <c r="B52" s="41" t="s">
        <v>89</v>
      </c>
      <c r="C52" s="10"/>
      <c r="D52" s="10"/>
      <c r="E52" s="10"/>
      <c r="F52" s="10"/>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4.25" customHeight="1">
      <c r="A53" s="105" t="s">
        <v>349</v>
      </c>
      <c r="B53" s="107" t="s">
        <v>350</v>
      </c>
      <c r="C53" s="10"/>
      <c r="D53" s="10"/>
      <c r="E53" s="7">
        <f>14.78+29.63+23.06+72.7+4.1+10.59</f>
        <v>154.86</v>
      </c>
      <c r="F53" s="7">
        <v>10.59</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90</v>
      </c>
      <c r="B54" s="48" t="s">
        <v>91</v>
      </c>
      <c r="C54" s="10">
        <v>210</v>
      </c>
      <c r="D54" s="7">
        <f>29+28</f>
        <v>57</v>
      </c>
      <c r="E54" s="7">
        <f>36.99+13.35+14.27+3.66+6.14+6.47</f>
        <v>80.88</v>
      </c>
      <c r="F54" s="7">
        <v>6.47</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0" t="s">
        <v>92</v>
      </c>
      <c r="B55" s="41" t="s">
        <v>93</v>
      </c>
      <c r="C55" s="10">
        <f>C56</f>
        <v>0</v>
      </c>
      <c r="D55" s="10">
        <f>D56</f>
        <v>0</v>
      </c>
      <c r="E55" s="10">
        <f>E56</f>
        <v>0</v>
      </c>
      <c r="F55" s="10">
        <f>F56</f>
        <v>0</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94</v>
      </c>
      <c r="B56" s="48" t="s">
        <v>95</v>
      </c>
      <c r="C56" s="10"/>
      <c r="D56" s="7"/>
      <c r="E56" s="7"/>
      <c r="F56" s="7"/>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0" t="s">
        <v>96</v>
      </c>
      <c r="B57" s="41" t="s">
        <v>97</v>
      </c>
      <c r="C57" s="10">
        <f>+C58</f>
        <v>6428.09</v>
      </c>
      <c r="D57" s="10">
        <f>+D58</f>
        <v>4915.09</v>
      </c>
      <c r="E57" s="10">
        <f>+E58</f>
        <v>1260.6399999999999</v>
      </c>
      <c r="F57" s="10">
        <f>+F58</f>
        <v>206.58</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0" t="s">
        <v>98</v>
      </c>
      <c r="B58" s="41" t="s">
        <v>99</v>
      </c>
      <c r="C58" s="10">
        <f>+C59+C70</f>
        <v>6428.09</v>
      </c>
      <c r="D58" s="10">
        <f>+D59+D70</f>
        <v>4915.09</v>
      </c>
      <c r="E58" s="10">
        <f>+E59+E70</f>
        <v>1260.6399999999999</v>
      </c>
      <c r="F58" s="10">
        <f>+F59+F70</f>
        <v>206.58</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0" t="s">
        <v>100</v>
      </c>
      <c r="B59" s="41" t="s">
        <v>101</v>
      </c>
      <c r="C59" s="10">
        <f>C60+C61+C62+C63+C65+C66+C67+C68+C64+C69</f>
        <v>5220.09</v>
      </c>
      <c r="D59" s="10">
        <f>D60+D61+D62+D63+D65+D66+D67+D68+D64+D69</f>
        <v>4259.09</v>
      </c>
      <c r="E59" s="10">
        <f>E60+E61+E62+E63+E65+E66+E67+E68+E64+E69</f>
        <v>1066.31</v>
      </c>
      <c r="F59" s="10">
        <f>F60+F61+F62+F63+F65+F66+F67+F68+F64+F69</f>
        <v>171.87</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2" t="s">
        <v>102</v>
      </c>
      <c r="B60" s="48" t="s">
        <v>103</v>
      </c>
      <c r="C60" s="10"/>
      <c r="D60" s="7"/>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2" t="s">
        <v>104</v>
      </c>
      <c r="B61" s="48" t="s">
        <v>105</v>
      </c>
      <c r="C61" s="10">
        <v>33</v>
      </c>
      <c r="D61" s="7">
        <v>28</v>
      </c>
      <c r="E61" s="7">
        <f>55.45+54.49+55+50.75+50.18+49.94</f>
        <v>315.81</v>
      </c>
      <c r="F61" s="7">
        <v>49.94</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9" t="s">
        <v>106</v>
      </c>
      <c r="B62" s="48" t="s">
        <v>107</v>
      </c>
      <c r="C62" s="10">
        <v>3182</v>
      </c>
      <c r="D62" s="7">
        <v>3182</v>
      </c>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2" t="s">
        <v>108</v>
      </c>
      <c r="B63" s="50" t="s">
        <v>109</v>
      </c>
      <c r="C63" s="10">
        <v>1431</v>
      </c>
      <c r="D63" s="7">
        <f>352+350</f>
        <v>702</v>
      </c>
      <c r="E63" s="7">
        <f>117.13+121.2+123.77+118.99+147.48+121.93</f>
        <v>750.5</v>
      </c>
      <c r="F63" s="7">
        <v>121.93</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12.75">
      <c r="A64" s="42" t="s">
        <v>110</v>
      </c>
      <c r="B64" s="50" t="s">
        <v>111</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2" t="s">
        <v>112</v>
      </c>
      <c r="B65" s="50" t="s">
        <v>113</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2" t="s">
        <v>114</v>
      </c>
      <c r="B66" s="50" t="s">
        <v>115</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2" t="s">
        <v>116</v>
      </c>
      <c r="B67" s="50" t="s">
        <v>117</v>
      </c>
      <c r="C67" s="10"/>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51">
      <c r="A68" s="42" t="s">
        <v>118</v>
      </c>
      <c r="B68" s="50" t="s">
        <v>119</v>
      </c>
      <c r="C68" s="10"/>
      <c r="D68" s="7"/>
      <c r="E68" s="7"/>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2" t="s">
        <v>120</v>
      </c>
      <c r="B69" s="50" t="s">
        <v>121</v>
      </c>
      <c r="C69" s="10">
        <v>574.09</v>
      </c>
      <c r="D69" s="7">
        <v>347.09</v>
      </c>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12.75">
      <c r="A70" s="40" t="s">
        <v>122</v>
      </c>
      <c r="B70" s="41" t="s">
        <v>123</v>
      </c>
      <c r="C70" s="10">
        <f>+C71+C72+C73+C74+C75+C76+C77+C78</f>
        <v>1208</v>
      </c>
      <c r="D70" s="10">
        <f>+D71+D72+D73+D74+D75+D76+D77+D78</f>
        <v>656</v>
      </c>
      <c r="E70" s="10">
        <f>+E71+E72+E73+E74+E75+E76+E77+E78</f>
        <v>194.33</v>
      </c>
      <c r="F70" s="10">
        <f>+F71+F72+F73+F74+F75+F76+F77+F78</f>
        <v>34.71</v>
      </c>
      <c r="G70" s="35"/>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2" t="s">
        <v>124</v>
      </c>
      <c r="B71" s="43" t="s">
        <v>125</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2" t="s">
        <v>126</v>
      </c>
      <c r="B72" s="51" t="s">
        <v>109</v>
      </c>
      <c r="C72" s="10"/>
      <c r="D72" s="7"/>
      <c r="E72" s="7"/>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2" t="s">
        <v>127</v>
      </c>
      <c r="B73" s="43" t="s">
        <v>128</v>
      </c>
      <c r="C73" s="10"/>
      <c r="D73" s="7"/>
      <c r="E73" s="7">
        <f>0.03</f>
        <v>0.03</v>
      </c>
      <c r="F73" s="7">
        <v>0</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38.25">
      <c r="A74" s="42" t="s">
        <v>129</v>
      </c>
      <c r="B74" s="43" t="s">
        <v>130</v>
      </c>
      <c r="C74" s="10">
        <v>1</v>
      </c>
      <c r="D74" s="7"/>
      <c r="E74" s="7">
        <f>0.03+0.03+0.02+0.01+0.03</f>
        <v>0.12</v>
      </c>
      <c r="F74" s="7">
        <v>0.03</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161" ht="25.5">
      <c r="A75" s="42" t="s">
        <v>131</v>
      </c>
      <c r="B75" s="43" t="s">
        <v>113</v>
      </c>
      <c r="C75" s="10"/>
      <c r="D75" s="7"/>
      <c r="E75" s="7">
        <f>28.46+26.16+34.15+34.47+34.78+34.32</f>
        <v>192.34</v>
      </c>
      <c r="F75" s="7">
        <v>34.32</v>
      </c>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2"/>
      <c r="FE75" s="2"/>
    </row>
    <row r="76" spans="1:88" ht="25.5">
      <c r="A76" s="46" t="s">
        <v>132</v>
      </c>
      <c r="B76" s="52" t="s">
        <v>133</v>
      </c>
      <c r="C76" s="10">
        <v>1206</v>
      </c>
      <c r="D76" s="7">
        <v>655</v>
      </c>
      <c r="E76" s="7">
        <v>0</v>
      </c>
      <c r="F76" s="7"/>
      <c r="AP76" s="2"/>
      <c r="BP76" s="2"/>
      <c r="BQ76" s="2"/>
      <c r="BR76" s="2"/>
      <c r="CJ76" s="2"/>
    </row>
    <row r="77" spans="1:172" s="25" customFormat="1" ht="51">
      <c r="A77" s="43" t="s">
        <v>134</v>
      </c>
      <c r="B77" s="53" t="s">
        <v>135</v>
      </c>
      <c r="C77" s="10">
        <v>1</v>
      </c>
      <c r="D77" s="7">
        <v>1</v>
      </c>
      <c r="E77" s="7">
        <f>0.46+0.23+0.37+0.21+0.21+0.36</f>
        <v>1.8399999999999999</v>
      </c>
      <c r="F77" s="7">
        <v>0.36</v>
      </c>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25.5">
      <c r="A78" s="43" t="s">
        <v>136</v>
      </c>
      <c r="B78" s="54" t="s">
        <v>137</v>
      </c>
      <c r="C78" s="10"/>
      <c r="D78" s="7"/>
      <c r="E78" s="7"/>
      <c r="F78" s="7"/>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00"/>
      <c r="B79" s="103"/>
      <c r="C79" s="101"/>
      <c r="D79" s="102"/>
      <c r="E79" s="102"/>
      <c r="F79" s="102"/>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4.25">
      <c r="A80" s="100"/>
      <c r="B80" s="103"/>
      <c r="C80" s="101"/>
      <c r="D80" s="102"/>
      <c r="E80" s="102"/>
      <c r="F80" s="102"/>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25" customFormat="1" ht="14.25">
      <c r="A81" s="123" t="s">
        <v>138</v>
      </c>
      <c r="B81" s="123"/>
      <c r="C81" s="30"/>
      <c r="D81" s="30"/>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29"/>
      <c r="BQ81" s="29"/>
      <c r="BR81" s="29"/>
      <c r="BS81" s="19"/>
      <c r="BT81" s="19"/>
      <c r="BU81" s="19"/>
      <c r="BV81" s="19"/>
      <c r="BW81" s="19"/>
      <c r="BX81" s="19"/>
      <c r="BY81" s="19"/>
      <c r="BZ81" s="19"/>
      <c r="CA81" s="19"/>
      <c r="CB81" s="19"/>
      <c r="CC81" s="19"/>
      <c r="CD81" s="19"/>
      <c r="CE81" s="19"/>
      <c r="CF81" s="19"/>
      <c r="CG81" s="19"/>
      <c r="CH81" s="19"/>
      <c r="CI81" s="19"/>
      <c r="CJ81" s="2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row>
    <row r="82" spans="1:172" s="25" customFormat="1" ht="12.75">
      <c r="A82" s="114"/>
      <c r="B82" s="12"/>
      <c r="C82" s="115"/>
      <c r="D82" s="115"/>
      <c r="E82" s="12"/>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31" customFormat="1" ht="15">
      <c r="A83" s="116"/>
      <c r="B83" s="117" t="s">
        <v>139</v>
      </c>
      <c r="C83" s="118"/>
      <c r="D83" s="118" t="s">
        <v>363</v>
      </c>
      <c r="E83" s="117"/>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3"/>
      <c r="BQ83" s="33"/>
      <c r="BR83" s="33"/>
      <c r="BS83" s="32"/>
      <c r="BT83" s="32"/>
      <c r="BU83" s="32"/>
      <c r="BV83" s="32"/>
      <c r="BW83" s="32"/>
      <c r="BX83" s="32"/>
      <c r="BY83" s="32"/>
      <c r="BZ83" s="32"/>
      <c r="CA83" s="32"/>
      <c r="CB83" s="32"/>
      <c r="CC83" s="32"/>
      <c r="CD83" s="32"/>
      <c r="CE83" s="32"/>
      <c r="CF83" s="32"/>
      <c r="CG83" s="32"/>
      <c r="CH83" s="32"/>
      <c r="CI83" s="32"/>
      <c r="CJ83" s="33"/>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row>
    <row r="84" spans="1:172" s="25" customFormat="1" ht="12.75">
      <c r="A84" s="114"/>
      <c r="B84" s="12" t="s">
        <v>362</v>
      </c>
      <c r="C84" s="115"/>
      <c r="D84" s="115" t="s">
        <v>364</v>
      </c>
      <c r="E84" s="12"/>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14"/>
      <c r="B85" s="12"/>
      <c r="C85" s="115"/>
      <c r="D85" s="115"/>
      <c r="E85" s="12"/>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29"/>
      <c r="BQ92" s="29"/>
      <c r="BR92" s="2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75">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29"/>
      <c r="BQ93" s="29"/>
      <c r="BR93" s="2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 customHeight="1">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spans="1:172" s="25" customFormat="1" ht="12.75">
      <c r="A120" s="13"/>
      <c r="C120" s="30"/>
      <c r="D120" s="3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2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row>
    <row r="121" spans="1:172" s="25" customFormat="1" ht="12.75">
      <c r="A121" s="13"/>
      <c r="C121" s="30"/>
      <c r="D121" s="30"/>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2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sheetData>
  <sheetProtection/>
  <protectedRanges>
    <protectedRange sqref="D47:F47 C57:F58 D54:F54 D71:D78 D49 E76:F78 C48:F48 C50:G50 D79:F80 D13:D15 E71:F72 D27:F43 D56 C70:G70 D19:F24 E62:F69 D60:D69" name="Zonă1"/>
  </protectedRanges>
  <mergeCells count="32">
    <mergeCell ref="Y7:AC7"/>
    <mergeCell ref="AD7:AH7"/>
    <mergeCell ref="AI7:AM7"/>
    <mergeCell ref="AN7:AR7"/>
    <mergeCell ref="H7:I7"/>
    <mergeCell ref="J7:N7"/>
    <mergeCell ref="O7:S7"/>
    <mergeCell ref="T7:X7"/>
    <mergeCell ref="BM7:BQ7"/>
    <mergeCell ref="BR7:BV7"/>
    <mergeCell ref="BW7:CA7"/>
    <mergeCell ref="CB7:CF7"/>
    <mergeCell ref="AS7:AW7"/>
    <mergeCell ref="AX7:BB7"/>
    <mergeCell ref="BC7:BG7"/>
    <mergeCell ref="BH7:BL7"/>
    <mergeCell ref="DP7:DT7"/>
    <mergeCell ref="DU7:DY7"/>
    <mergeCell ref="CL7:CP7"/>
    <mergeCell ref="CQ7:CU7"/>
    <mergeCell ref="CV7:CZ7"/>
    <mergeCell ref="DA7:DE7"/>
    <mergeCell ref="ET7:EX7"/>
    <mergeCell ref="EY7:FC7"/>
    <mergeCell ref="A81:B81"/>
    <mergeCell ref="DZ7:ED7"/>
    <mergeCell ref="EE7:EI7"/>
    <mergeCell ref="EJ7:EN7"/>
    <mergeCell ref="EO7:ES7"/>
    <mergeCell ref="DF7:DJ7"/>
    <mergeCell ref="DK7:DO7"/>
    <mergeCell ref="CG7:CK7"/>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9"/>
  <sheetViews>
    <sheetView zoomScale="90" zoomScaleNormal="90" zoomScalePageLayoutView="0" workbookViewId="0" topLeftCell="A1">
      <pane xSplit="3" ySplit="9" topLeftCell="D140" activePane="bottomRight" state="frozen"/>
      <selection pane="topLeft" activeCell="G5" sqref="G5"/>
      <selection pane="topRight" activeCell="G5" sqref="G5"/>
      <selection pane="bottomLeft" activeCell="G5" sqref="G5"/>
      <selection pane="bottomRight" activeCell="A175" sqref="A175"/>
    </sheetView>
  </sheetViews>
  <sheetFormatPr defaultColWidth="9.140625" defaultRowHeight="12.75"/>
  <cols>
    <col min="1" max="1" width="14.00390625" style="108" customWidth="1"/>
    <col min="2" max="2" width="50.7109375" style="27" customWidth="1"/>
    <col min="3" max="3" width="6.8515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19" bestFit="1" customWidth="1"/>
    <col min="10" max="10" width="10.421875" style="19" hidden="1" customWidth="1"/>
    <col min="11" max="11" width="11.57421875" style="19" bestFit="1" customWidth="1"/>
    <col min="12" max="16384" width="9.140625" style="19" customWidth="1"/>
  </cols>
  <sheetData>
    <row r="1" ht="12.75">
      <c r="B1" s="119" t="s">
        <v>365</v>
      </c>
    </row>
    <row r="2" ht="12.75">
      <c r="B2" s="119" t="s">
        <v>373</v>
      </c>
    </row>
    <row r="4" spans="2:3" ht="15">
      <c r="B4" s="56" t="s">
        <v>371</v>
      </c>
      <c r="C4" s="57"/>
    </row>
    <row r="5" spans="2:3" ht="12.75">
      <c r="B5" s="57"/>
      <c r="C5" s="57"/>
    </row>
    <row r="6" spans="2:4" ht="12.75">
      <c r="B6" s="57"/>
      <c r="C6" s="57"/>
      <c r="D6" s="29"/>
    </row>
    <row r="7" spans="4:8" ht="12.75">
      <c r="D7" s="58"/>
      <c r="E7" s="58"/>
      <c r="F7" s="59"/>
      <c r="G7" s="60"/>
      <c r="H7" s="61" t="s">
        <v>141</v>
      </c>
    </row>
    <row r="8" spans="1:8" s="112" customFormat="1" ht="89.25">
      <c r="A8" s="109" t="s">
        <v>1</v>
      </c>
      <c r="B8" s="23" t="s">
        <v>2</v>
      </c>
      <c r="C8" s="23"/>
      <c r="D8" s="23" t="s">
        <v>142</v>
      </c>
      <c r="E8" s="5" t="s">
        <v>143</v>
      </c>
      <c r="F8" s="5" t="s">
        <v>144</v>
      </c>
      <c r="G8" s="23" t="s">
        <v>145</v>
      </c>
      <c r="H8" s="23" t="s">
        <v>146</v>
      </c>
    </row>
    <row r="9" spans="1:8" ht="12.75">
      <c r="A9" s="67"/>
      <c r="B9" s="6" t="s">
        <v>147</v>
      </c>
      <c r="C9" s="6"/>
      <c r="D9" s="62">
        <v>1</v>
      </c>
      <c r="E9" s="62">
        <v>2</v>
      </c>
      <c r="F9" s="62">
        <v>3</v>
      </c>
      <c r="G9" s="62">
        <v>4</v>
      </c>
      <c r="H9" s="62" t="s">
        <v>148</v>
      </c>
    </row>
    <row r="10" spans="1:12" s="11" customFormat="1" ht="12.75">
      <c r="A10" s="67" t="s">
        <v>149</v>
      </c>
      <c r="B10" s="63" t="s">
        <v>150</v>
      </c>
      <c r="C10" s="64">
        <f aca="true" t="shared" si="0" ref="C10:H10">+C11+C16</f>
        <v>0</v>
      </c>
      <c r="D10" s="64">
        <f t="shared" si="0"/>
        <v>194334.53</v>
      </c>
      <c r="E10" s="64">
        <f t="shared" si="0"/>
        <v>204819.7</v>
      </c>
      <c r="F10" s="64">
        <f t="shared" si="0"/>
        <v>116461.86</v>
      </c>
      <c r="G10" s="64">
        <f t="shared" si="0"/>
        <v>115197.20999999999</v>
      </c>
      <c r="H10" s="64">
        <f t="shared" si="0"/>
        <v>18744.362999999994</v>
      </c>
      <c r="I10" s="8"/>
      <c r="J10" s="8"/>
      <c r="K10" s="8"/>
      <c r="L10" s="8"/>
    </row>
    <row r="11" spans="1:12" s="11" customFormat="1" ht="12.75">
      <c r="A11" s="67" t="s">
        <v>151</v>
      </c>
      <c r="B11" s="65" t="s">
        <v>152</v>
      </c>
      <c r="C11" s="66">
        <f aca="true" t="shared" si="1" ref="C11:H11">+C12+C13+C15+C14</f>
        <v>0</v>
      </c>
      <c r="D11" s="66">
        <f t="shared" si="1"/>
        <v>194334.53</v>
      </c>
      <c r="E11" s="66">
        <f t="shared" si="1"/>
        <v>204819.7</v>
      </c>
      <c r="F11" s="66">
        <f t="shared" si="1"/>
        <v>116461.86</v>
      </c>
      <c r="G11" s="66">
        <f t="shared" si="1"/>
        <v>115197.20999999999</v>
      </c>
      <c r="H11" s="66">
        <f t="shared" si="1"/>
        <v>18744.362999999994</v>
      </c>
      <c r="I11" s="8"/>
      <c r="J11" s="8"/>
      <c r="K11" s="8"/>
      <c r="L11" s="8"/>
    </row>
    <row r="12" spans="1:12" s="11" customFormat="1" ht="15" customHeight="1">
      <c r="A12" s="67" t="s">
        <v>153</v>
      </c>
      <c r="B12" s="65" t="s">
        <v>154</v>
      </c>
      <c r="C12" s="66">
        <f aca="true" t="shared" si="2" ref="C12:H12">+C24</f>
        <v>0</v>
      </c>
      <c r="D12" s="66">
        <f t="shared" si="2"/>
        <v>0</v>
      </c>
      <c r="E12" s="66">
        <f t="shared" si="2"/>
        <v>2792.8900000000003</v>
      </c>
      <c r="F12" s="66">
        <f t="shared" si="2"/>
        <v>1427.4499999999998</v>
      </c>
      <c r="G12" s="66">
        <f t="shared" si="2"/>
        <v>1314.28</v>
      </c>
      <c r="H12" s="66">
        <f t="shared" si="2"/>
        <v>208.28300000000002</v>
      </c>
      <c r="I12" s="8"/>
      <c r="J12" s="8"/>
      <c r="K12" s="8"/>
      <c r="L12" s="8"/>
    </row>
    <row r="13" spans="1:12" s="11" customFormat="1" ht="12.75" customHeight="1">
      <c r="A13" s="67" t="s">
        <v>155</v>
      </c>
      <c r="B13" s="65" t="s">
        <v>156</v>
      </c>
      <c r="C13" s="66">
        <f aca="true" t="shared" si="3" ref="C13:H13">+C37</f>
        <v>0</v>
      </c>
      <c r="D13" s="66">
        <f t="shared" si="3"/>
        <v>194334.53</v>
      </c>
      <c r="E13" s="66">
        <f t="shared" si="3"/>
        <v>188763.81</v>
      </c>
      <c r="F13" s="66">
        <f t="shared" si="3"/>
        <v>108211.41</v>
      </c>
      <c r="G13" s="66">
        <f t="shared" si="3"/>
        <v>107060.68</v>
      </c>
      <c r="H13" s="66">
        <f t="shared" si="3"/>
        <v>17522.139999999996</v>
      </c>
      <c r="I13" s="8"/>
      <c r="J13" s="8"/>
      <c r="K13" s="8"/>
      <c r="L13" s="8"/>
    </row>
    <row r="14" spans="1:12" s="11" customFormat="1" ht="12.75" customHeight="1">
      <c r="A14" s="67" t="s">
        <v>157</v>
      </c>
      <c r="B14" s="65" t="s">
        <v>158</v>
      </c>
      <c r="C14" s="66">
        <f aca="true" t="shared" si="4" ref="C14:H14">+C63</f>
        <v>0</v>
      </c>
      <c r="D14" s="66">
        <f t="shared" si="4"/>
        <v>0</v>
      </c>
      <c r="E14" s="66">
        <f t="shared" si="4"/>
        <v>0</v>
      </c>
      <c r="F14" s="66">
        <f t="shared" si="4"/>
        <v>0</v>
      </c>
      <c r="G14" s="66">
        <f t="shared" si="4"/>
        <v>0</v>
      </c>
      <c r="H14" s="66">
        <f t="shared" si="4"/>
        <v>0</v>
      </c>
      <c r="I14" s="8"/>
      <c r="J14" s="8"/>
      <c r="K14" s="8"/>
      <c r="L14" s="8"/>
    </row>
    <row r="15" spans="1:12" s="11" customFormat="1" ht="12.75">
      <c r="A15" s="67" t="s">
        <v>159</v>
      </c>
      <c r="B15" s="65" t="s">
        <v>160</v>
      </c>
      <c r="C15" s="66">
        <f aca="true" t="shared" si="5" ref="C15:H15">+C20</f>
        <v>0</v>
      </c>
      <c r="D15" s="66">
        <f t="shared" si="5"/>
        <v>0</v>
      </c>
      <c r="E15" s="66">
        <f t="shared" si="5"/>
        <v>13263</v>
      </c>
      <c r="F15" s="66">
        <f t="shared" si="5"/>
        <v>6823</v>
      </c>
      <c r="G15" s="66">
        <f t="shared" si="5"/>
        <v>6822.25</v>
      </c>
      <c r="H15" s="66">
        <f t="shared" si="5"/>
        <v>1013.94</v>
      </c>
      <c r="I15" s="8"/>
      <c r="J15" s="8"/>
      <c r="K15" s="8"/>
      <c r="L15" s="8"/>
    </row>
    <row r="16" spans="1:12" s="11" customFormat="1" ht="12.75">
      <c r="A16" s="67" t="s">
        <v>161</v>
      </c>
      <c r="B16" s="65" t="s">
        <v>162</v>
      </c>
      <c r="C16" s="66">
        <f aca="true" t="shared" si="6" ref="C16:H16">+C17</f>
        <v>0</v>
      </c>
      <c r="D16" s="66">
        <f t="shared" si="6"/>
        <v>0</v>
      </c>
      <c r="E16" s="66">
        <f t="shared" si="6"/>
        <v>0</v>
      </c>
      <c r="F16" s="66">
        <f t="shared" si="6"/>
        <v>0</v>
      </c>
      <c r="G16" s="66">
        <f t="shared" si="6"/>
        <v>0</v>
      </c>
      <c r="H16" s="66">
        <f t="shared" si="6"/>
        <v>0</v>
      </c>
      <c r="I16" s="8"/>
      <c r="J16" s="8"/>
      <c r="K16" s="8"/>
      <c r="L16" s="8"/>
    </row>
    <row r="17" spans="1:12" s="11" customFormat="1" ht="12.75">
      <c r="A17" s="67" t="s">
        <v>163</v>
      </c>
      <c r="B17" s="65" t="s">
        <v>164</v>
      </c>
      <c r="C17" s="66">
        <f aca="true" t="shared" si="7" ref="C17:H17">+C21</f>
        <v>0</v>
      </c>
      <c r="D17" s="66">
        <f t="shared" si="7"/>
        <v>0</v>
      </c>
      <c r="E17" s="66">
        <f t="shared" si="7"/>
        <v>0</v>
      </c>
      <c r="F17" s="66">
        <f t="shared" si="7"/>
        <v>0</v>
      </c>
      <c r="G17" s="66">
        <f t="shared" si="7"/>
        <v>0</v>
      </c>
      <c r="H17" s="66">
        <f t="shared" si="7"/>
        <v>0</v>
      </c>
      <c r="I17" s="8"/>
      <c r="J17" s="8"/>
      <c r="K17" s="8"/>
      <c r="L17" s="8"/>
    </row>
    <row r="18" spans="1:12" s="11" customFormat="1" ht="12.75">
      <c r="A18" s="67" t="s">
        <v>165</v>
      </c>
      <c r="B18" s="65" t="s">
        <v>166</v>
      </c>
      <c r="C18" s="66">
        <f aca="true" t="shared" si="8" ref="C18:H18">+C19+C21</f>
        <v>0</v>
      </c>
      <c r="D18" s="66">
        <f t="shared" si="8"/>
        <v>194334.53</v>
      </c>
      <c r="E18" s="66">
        <f t="shared" si="8"/>
        <v>204819.7</v>
      </c>
      <c r="F18" s="66">
        <f t="shared" si="8"/>
        <v>116461.86</v>
      </c>
      <c r="G18" s="66">
        <f t="shared" si="8"/>
        <v>115197.20999999999</v>
      </c>
      <c r="H18" s="66">
        <f t="shared" si="8"/>
        <v>18744.362999999994</v>
      </c>
      <c r="I18" s="8"/>
      <c r="J18" s="8"/>
      <c r="K18" s="8"/>
      <c r="L18" s="8"/>
    </row>
    <row r="19" spans="1:12" s="11" customFormat="1" ht="12.75">
      <c r="A19" s="67" t="s">
        <v>167</v>
      </c>
      <c r="B19" s="65" t="s">
        <v>152</v>
      </c>
      <c r="C19" s="66">
        <f aca="true" t="shared" si="9" ref="C19:H19">+C24+C37+C20+C63</f>
        <v>0</v>
      </c>
      <c r="D19" s="66">
        <f t="shared" si="9"/>
        <v>194334.53</v>
      </c>
      <c r="E19" s="66">
        <f t="shared" si="9"/>
        <v>204819.7</v>
      </c>
      <c r="F19" s="66">
        <f t="shared" si="9"/>
        <v>116461.86</v>
      </c>
      <c r="G19" s="66">
        <f t="shared" si="9"/>
        <v>115197.20999999999</v>
      </c>
      <c r="H19" s="66">
        <f t="shared" si="9"/>
        <v>18744.362999999994</v>
      </c>
      <c r="I19" s="8"/>
      <c r="J19" s="8"/>
      <c r="K19" s="8"/>
      <c r="L19" s="8"/>
    </row>
    <row r="20" spans="1:12" s="11" customFormat="1" ht="12.75">
      <c r="A20" s="67" t="s">
        <v>168</v>
      </c>
      <c r="B20" s="65" t="s">
        <v>160</v>
      </c>
      <c r="C20" s="66">
        <f aca="true" t="shared" si="10" ref="C20:H20">+C148</f>
        <v>0</v>
      </c>
      <c r="D20" s="66">
        <f t="shared" si="10"/>
        <v>0</v>
      </c>
      <c r="E20" s="66">
        <f t="shared" si="10"/>
        <v>13263</v>
      </c>
      <c r="F20" s="66">
        <f t="shared" si="10"/>
        <v>6823</v>
      </c>
      <c r="G20" s="66">
        <f t="shared" si="10"/>
        <v>6822.25</v>
      </c>
      <c r="H20" s="66">
        <f t="shared" si="10"/>
        <v>1013.94</v>
      </c>
      <c r="I20" s="8"/>
      <c r="J20" s="8"/>
      <c r="K20" s="8"/>
      <c r="L20" s="8"/>
    </row>
    <row r="21" spans="1:12" s="11" customFormat="1" ht="15.75" customHeight="1">
      <c r="A21" s="67" t="s">
        <v>169</v>
      </c>
      <c r="B21" s="65" t="s">
        <v>162</v>
      </c>
      <c r="C21" s="66">
        <f aca="true" t="shared" si="11" ref="C21:H21">+C66</f>
        <v>0</v>
      </c>
      <c r="D21" s="66">
        <f t="shared" si="11"/>
        <v>0</v>
      </c>
      <c r="E21" s="66">
        <f t="shared" si="11"/>
        <v>0</v>
      </c>
      <c r="F21" s="66">
        <f t="shared" si="11"/>
        <v>0</v>
      </c>
      <c r="G21" s="66">
        <f t="shared" si="11"/>
        <v>0</v>
      </c>
      <c r="H21" s="66">
        <f t="shared" si="11"/>
        <v>0</v>
      </c>
      <c r="I21" s="8"/>
      <c r="J21" s="8"/>
      <c r="K21" s="8"/>
      <c r="L21" s="8"/>
    </row>
    <row r="22" spans="1:12" s="11" customFormat="1" ht="12.75">
      <c r="A22" s="67" t="s">
        <v>170</v>
      </c>
      <c r="B22" s="65" t="s">
        <v>171</v>
      </c>
      <c r="C22" s="66">
        <f aca="true" t="shared" si="12" ref="C22:H22">+C23+C66</f>
        <v>0</v>
      </c>
      <c r="D22" s="66">
        <f t="shared" si="12"/>
        <v>194334.53</v>
      </c>
      <c r="E22" s="66">
        <f t="shared" si="12"/>
        <v>191556.7</v>
      </c>
      <c r="F22" s="66">
        <f t="shared" si="12"/>
        <v>109638.86</v>
      </c>
      <c r="G22" s="66">
        <f t="shared" si="12"/>
        <v>108374.95999999999</v>
      </c>
      <c r="H22" s="66">
        <f t="shared" si="12"/>
        <v>17730.422999999995</v>
      </c>
      <c r="I22" s="8"/>
      <c r="J22" s="8"/>
      <c r="K22" s="8"/>
      <c r="L22" s="8"/>
    </row>
    <row r="23" spans="1:12" s="11" customFormat="1" ht="12.75">
      <c r="A23" s="67" t="s">
        <v>172</v>
      </c>
      <c r="B23" s="65" t="s">
        <v>152</v>
      </c>
      <c r="C23" s="66">
        <f aca="true" t="shared" si="13" ref="C23:H23">+C24+C37+C63</f>
        <v>0</v>
      </c>
      <c r="D23" s="66">
        <f t="shared" si="13"/>
        <v>194334.53</v>
      </c>
      <c r="E23" s="66">
        <f t="shared" si="13"/>
        <v>191556.7</v>
      </c>
      <c r="F23" s="66">
        <f t="shared" si="13"/>
        <v>109638.86</v>
      </c>
      <c r="G23" s="66">
        <f t="shared" si="13"/>
        <v>108374.95999999999</v>
      </c>
      <c r="H23" s="66">
        <f t="shared" si="13"/>
        <v>17730.422999999995</v>
      </c>
      <c r="I23" s="8"/>
      <c r="J23" s="8"/>
      <c r="K23" s="8"/>
      <c r="L23" s="8"/>
    </row>
    <row r="24" spans="1:12" s="11" customFormat="1" ht="12.75">
      <c r="A24" s="67" t="s">
        <v>173</v>
      </c>
      <c r="B24" s="65" t="s">
        <v>154</v>
      </c>
      <c r="C24" s="66">
        <f aca="true" t="shared" si="14" ref="C24:H24">+C25+C31</f>
        <v>0</v>
      </c>
      <c r="D24" s="66">
        <f t="shared" si="14"/>
        <v>0</v>
      </c>
      <c r="E24" s="66">
        <f t="shared" si="14"/>
        <v>2792.8900000000003</v>
      </c>
      <c r="F24" s="66">
        <f t="shared" si="14"/>
        <v>1427.4499999999998</v>
      </c>
      <c r="G24" s="66">
        <f t="shared" si="14"/>
        <v>1314.28</v>
      </c>
      <c r="H24" s="66">
        <f t="shared" si="14"/>
        <v>208.28300000000002</v>
      </c>
      <c r="I24" s="8"/>
      <c r="J24" s="8"/>
      <c r="K24" s="8"/>
      <c r="L24" s="8"/>
    </row>
    <row r="25" spans="1:12" s="11" customFormat="1" ht="12.75">
      <c r="A25" s="67" t="s">
        <v>174</v>
      </c>
      <c r="B25" s="65" t="s">
        <v>175</v>
      </c>
      <c r="C25" s="66">
        <f aca="true" t="shared" si="15" ref="C25:H25">C26+C27+C28+C29+C30</f>
        <v>0</v>
      </c>
      <c r="D25" s="66">
        <f t="shared" si="15"/>
        <v>0</v>
      </c>
      <c r="E25" s="66">
        <f t="shared" si="15"/>
        <v>2301.88</v>
      </c>
      <c r="F25" s="66">
        <f t="shared" si="15"/>
        <v>1165.1499999999999</v>
      </c>
      <c r="G25" s="66">
        <f t="shared" si="15"/>
        <v>1082.3</v>
      </c>
      <c r="H25" s="66">
        <f t="shared" si="15"/>
        <v>172.25000000000003</v>
      </c>
      <c r="I25" s="8"/>
      <c r="J25" s="8"/>
      <c r="K25" s="8"/>
      <c r="L25" s="8"/>
    </row>
    <row r="26" spans="1:12" ht="12.75">
      <c r="A26" s="76" t="s">
        <v>176</v>
      </c>
      <c r="B26" s="68" t="s">
        <v>340</v>
      </c>
      <c r="C26" s="69"/>
      <c r="D26" s="10"/>
      <c r="E26" s="7">
        <v>2275.11</v>
      </c>
      <c r="F26" s="7">
        <f>569.8+572.9</f>
        <v>1142.6999999999998</v>
      </c>
      <c r="G26" s="7">
        <f>179.74+186.41+181.24+175.25+174.63+166.34</f>
        <v>1063.61</v>
      </c>
      <c r="H26" s="7">
        <v>166.34</v>
      </c>
      <c r="I26" s="8"/>
      <c r="J26" s="8"/>
      <c r="K26" s="8"/>
      <c r="L26" s="8"/>
    </row>
    <row r="27" spans="1:12" ht="12.75" customHeight="1">
      <c r="A27" s="76" t="s">
        <v>177</v>
      </c>
      <c r="B27" s="70" t="s">
        <v>178</v>
      </c>
      <c r="C27" s="69"/>
      <c r="D27" s="10"/>
      <c r="E27" s="7">
        <v>5.21</v>
      </c>
      <c r="F27" s="7">
        <f>2.3+2.9</f>
        <v>5.199999999999999</v>
      </c>
      <c r="G27" s="7">
        <f>0.75+0.86+0.64+0.9+0.74</f>
        <v>3.8899999999999997</v>
      </c>
      <c r="H27" s="7">
        <v>0.74</v>
      </c>
      <c r="I27" s="8"/>
      <c r="J27" s="8"/>
      <c r="K27" s="8"/>
      <c r="L27" s="8"/>
    </row>
    <row r="28" spans="1:12" ht="12.75">
      <c r="A28" s="76" t="s">
        <v>179</v>
      </c>
      <c r="B28" s="70" t="s">
        <v>180</v>
      </c>
      <c r="C28" s="69"/>
      <c r="D28" s="10"/>
      <c r="E28" s="7">
        <v>0.75</v>
      </c>
      <c r="F28" s="7">
        <f>0.45+0.2</f>
        <v>0.65</v>
      </c>
      <c r="G28" s="7">
        <f>0.16+0.05+0.19+0.03+0.05</f>
        <v>0.48000000000000004</v>
      </c>
      <c r="H28" s="7">
        <v>0.05</v>
      </c>
      <c r="I28" s="8"/>
      <c r="J28" s="8"/>
      <c r="K28" s="8"/>
      <c r="L28" s="8"/>
    </row>
    <row r="29" spans="1:12" ht="12.75">
      <c r="A29" s="76" t="s">
        <v>360</v>
      </c>
      <c r="B29" s="70" t="s">
        <v>181</v>
      </c>
      <c r="C29" s="69"/>
      <c r="D29" s="10"/>
      <c r="E29" s="7"/>
      <c r="F29" s="7"/>
      <c r="G29" s="7"/>
      <c r="H29" s="7"/>
      <c r="I29" s="8"/>
      <c r="J29" s="8"/>
      <c r="K29" s="8"/>
      <c r="L29" s="8"/>
    </row>
    <row r="30" spans="1:12" ht="12" customHeight="1">
      <c r="A30" s="76" t="s">
        <v>182</v>
      </c>
      <c r="B30" s="70" t="s">
        <v>341</v>
      </c>
      <c r="C30" s="69"/>
      <c r="D30" s="10"/>
      <c r="E30" s="7">
        <v>20.81</v>
      </c>
      <c r="F30" s="7">
        <f>8.3+8.3</f>
        <v>16.6</v>
      </c>
      <c r="G30" s="7">
        <f>0.1+0.57+3.61+2.99+1.93+5.12</f>
        <v>14.32</v>
      </c>
      <c r="H30" s="7">
        <v>5.12</v>
      </c>
      <c r="I30" s="8"/>
      <c r="J30" s="8"/>
      <c r="K30" s="8"/>
      <c r="L30" s="8"/>
    </row>
    <row r="31" spans="1:12" ht="13.5" customHeight="1">
      <c r="A31" s="67" t="s">
        <v>183</v>
      </c>
      <c r="B31" s="65" t="s">
        <v>184</v>
      </c>
      <c r="C31" s="66">
        <f aca="true" t="shared" si="16" ref="C31:H31">+C32+C33+C34+C35+C36</f>
        <v>0</v>
      </c>
      <c r="D31" s="66">
        <f t="shared" si="16"/>
        <v>0</v>
      </c>
      <c r="E31" s="66">
        <f t="shared" si="16"/>
        <v>491.01000000000005</v>
      </c>
      <c r="F31" s="66">
        <f t="shared" si="16"/>
        <v>262.3</v>
      </c>
      <c r="G31" s="66">
        <f t="shared" si="16"/>
        <v>231.97999999999996</v>
      </c>
      <c r="H31" s="66">
        <f t="shared" si="16"/>
        <v>36.033</v>
      </c>
      <c r="I31" s="8"/>
      <c r="J31" s="8"/>
      <c r="K31" s="8"/>
      <c r="L31" s="8"/>
    </row>
    <row r="32" spans="1:12" ht="12.75">
      <c r="A32" s="76" t="s">
        <v>185</v>
      </c>
      <c r="B32" s="70" t="s">
        <v>186</v>
      </c>
      <c r="C32" s="69"/>
      <c r="D32" s="10"/>
      <c r="E32" s="7">
        <v>342.23</v>
      </c>
      <c r="F32" s="7">
        <f>91.73+92.29</f>
        <v>184.02</v>
      </c>
      <c r="G32" s="7">
        <f>19.94+29.8+29.06+28.18+27.92+26.82</f>
        <v>161.71999999999997</v>
      </c>
      <c r="H32" s="7">
        <v>26.823</v>
      </c>
      <c r="I32" s="8"/>
      <c r="J32" s="8"/>
      <c r="K32" s="8"/>
      <c r="L32" s="8"/>
    </row>
    <row r="33" spans="1:12" ht="12.75">
      <c r="A33" s="76" t="s">
        <v>187</v>
      </c>
      <c r="B33" s="70" t="s">
        <v>188</v>
      </c>
      <c r="C33" s="69"/>
      <c r="D33" s="10"/>
      <c r="E33" s="7">
        <v>10.83</v>
      </c>
      <c r="F33" s="7">
        <f>2.9+2.92</f>
        <v>5.82</v>
      </c>
      <c r="G33" s="7">
        <f>0.73+0.94+0.92+0.89+0.88+0.86</f>
        <v>5.220000000000001</v>
      </c>
      <c r="H33" s="7">
        <v>0.86</v>
      </c>
      <c r="I33" s="8"/>
      <c r="J33" s="8"/>
      <c r="K33" s="8"/>
      <c r="L33" s="8"/>
    </row>
    <row r="34" spans="1:12" ht="12.75">
      <c r="A34" s="76" t="s">
        <v>189</v>
      </c>
      <c r="B34" s="70" t="s">
        <v>190</v>
      </c>
      <c r="C34" s="69"/>
      <c r="D34" s="10"/>
      <c r="E34" s="7">
        <v>112.63</v>
      </c>
      <c r="F34" s="7">
        <f>30.19+30.37</f>
        <v>60.56</v>
      </c>
      <c r="G34" s="7">
        <f>8.91+9.77+9.65+9.31+9.18+8.96</f>
        <v>55.78</v>
      </c>
      <c r="H34" s="7">
        <v>8.96</v>
      </c>
      <c r="I34" s="8"/>
      <c r="J34" s="8"/>
      <c r="K34" s="8"/>
      <c r="L34" s="8"/>
    </row>
    <row r="35" spans="1:12" ht="25.5">
      <c r="A35" s="76" t="s">
        <v>191</v>
      </c>
      <c r="B35" s="71" t="s">
        <v>192</v>
      </c>
      <c r="C35" s="69"/>
      <c r="D35" s="10"/>
      <c r="E35" s="7">
        <v>3.66</v>
      </c>
      <c r="F35" s="7">
        <v>1.9</v>
      </c>
      <c r="G35" s="7">
        <f>0.01+0.27+0.28+0.27+0.27+0.25</f>
        <v>1.35</v>
      </c>
      <c r="H35" s="7">
        <v>0.25</v>
      </c>
      <c r="I35" s="8"/>
      <c r="J35" s="8"/>
      <c r="K35" s="8"/>
      <c r="L35" s="8"/>
    </row>
    <row r="36" spans="1:12" s="11" customFormat="1" ht="12.75">
      <c r="A36" s="76" t="s">
        <v>193</v>
      </c>
      <c r="B36" s="71" t="s">
        <v>194</v>
      </c>
      <c r="C36" s="69"/>
      <c r="D36" s="10"/>
      <c r="E36" s="7">
        <v>21.66</v>
      </c>
      <c r="F36" s="7">
        <v>10</v>
      </c>
      <c r="G36" s="7">
        <f>1.57+0.29+3.12+2.82+0.97-0.86</f>
        <v>7.910000000000001</v>
      </c>
      <c r="H36" s="7">
        <v>-0.86</v>
      </c>
      <c r="I36" s="8"/>
      <c r="J36" s="8"/>
      <c r="K36" s="8"/>
      <c r="L36" s="8"/>
    </row>
    <row r="37" spans="1:12" s="11" customFormat="1" ht="12.75">
      <c r="A37" s="67" t="s">
        <v>195</v>
      </c>
      <c r="B37" s="65" t="s">
        <v>156</v>
      </c>
      <c r="C37" s="66">
        <f aca="true" t="shared" si="17" ref="C37:H37">+C38+C51+C50+C53+C56+C58+C59+C60+C57</f>
        <v>0</v>
      </c>
      <c r="D37" s="66">
        <f t="shared" si="17"/>
        <v>194334.53</v>
      </c>
      <c r="E37" s="66">
        <f t="shared" si="17"/>
        <v>188763.81</v>
      </c>
      <c r="F37" s="66">
        <f t="shared" si="17"/>
        <v>108211.41</v>
      </c>
      <c r="G37" s="66">
        <f t="shared" si="17"/>
        <v>107060.68</v>
      </c>
      <c r="H37" s="66">
        <f t="shared" si="17"/>
        <v>17522.139999999996</v>
      </c>
      <c r="I37" s="8"/>
      <c r="J37" s="8"/>
      <c r="K37" s="8"/>
      <c r="L37" s="8"/>
    </row>
    <row r="38" spans="1:12" ht="12.75">
      <c r="A38" s="67" t="s">
        <v>196</v>
      </c>
      <c r="B38" s="65" t="s">
        <v>197</v>
      </c>
      <c r="C38" s="66">
        <f aca="true" t="shared" si="18" ref="C38:H38">+C39+C40+C41+C42+C43+C44+C45+C46+C48</f>
        <v>0</v>
      </c>
      <c r="D38" s="66">
        <f t="shared" si="18"/>
        <v>194334.53</v>
      </c>
      <c r="E38" s="66">
        <f t="shared" si="18"/>
        <v>188735.81</v>
      </c>
      <c r="F38" s="66">
        <f t="shared" si="18"/>
        <v>108194.71</v>
      </c>
      <c r="G38" s="66">
        <f t="shared" si="18"/>
        <v>107043.98999999999</v>
      </c>
      <c r="H38" s="66">
        <f t="shared" si="18"/>
        <v>17516.699999999997</v>
      </c>
      <c r="I38" s="8"/>
      <c r="J38" s="8"/>
      <c r="K38" s="8"/>
      <c r="L38" s="8"/>
    </row>
    <row r="39" spans="1:12" ht="12.75">
      <c r="A39" s="76" t="s">
        <v>198</v>
      </c>
      <c r="B39" s="70" t="s">
        <v>199</v>
      </c>
      <c r="C39" s="69"/>
      <c r="D39" s="10"/>
      <c r="E39" s="7">
        <v>14</v>
      </c>
      <c r="F39" s="7">
        <f>5+4</f>
        <v>9</v>
      </c>
      <c r="G39" s="7">
        <f>1.02+1+2.98+1.08+1.95+0.96</f>
        <v>8.989999999999998</v>
      </c>
      <c r="H39" s="7">
        <v>0.96</v>
      </c>
      <c r="I39" s="8"/>
      <c r="J39" s="8"/>
      <c r="K39" s="8"/>
      <c r="L39" s="8"/>
    </row>
    <row r="40" spans="1:12" ht="12.75">
      <c r="A40" s="76" t="s">
        <v>200</v>
      </c>
      <c r="B40" s="70" t="s">
        <v>201</v>
      </c>
      <c r="C40" s="69"/>
      <c r="D40" s="10"/>
      <c r="E40" s="7">
        <v>3</v>
      </c>
      <c r="F40" s="7">
        <f>1+1</f>
        <v>2</v>
      </c>
      <c r="G40" s="7">
        <f>0.99+1.01</f>
        <v>2</v>
      </c>
      <c r="H40" s="7">
        <v>1.01</v>
      </c>
      <c r="I40" s="8"/>
      <c r="J40" s="8"/>
      <c r="K40" s="8"/>
      <c r="L40" s="8"/>
    </row>
    <row r="41" spans="1:12" ht="12.75">
      <c r="A41" s="76" t="s">
        <v>202</v>
      </c>
      <c r="B41" s="70" t="s">
        <v>203</v>
      </c>
      <c r="C41" s="69"/>
      <c r="D41" s="10"/>
      <c r="E41" s="7">
        <v>56</v>
      </c>
      <c r="F41" s="7">
        <v>36.3</v>
      </c>
      <c r="G41" s="7">
        <f>4.87+10.18+4.05+11.98-0.14+5.36</f>
        <v>36.300000000000004</v>
      </c>
      <c r="H41" s="7">
        <v>5.36</v>
      </c>
      <c r="I41" s="8"/>
      <c r="J41" s="8"/>
      <c r="K41" s="8"/>
      <c r="L41" s="8"/>
    </row>
    <row r="42" spans="1:12" ht="12.75">
      <c r="A42" s="76" t="s">
        <v>204</v>
      </c>
      <c r="B42" s="70" t="s">
        <v>205</v>
      </c>
      <c r="C42" s="69"/>
      <c r="D42" s="10"/>
      <c r="E42" s="7">
        <v>4</v>
      </c>
      <c r="F42" s="7">
        <f>0.8+1.7</f>
        <v>2.5</v>
      </c>
      <c r="G42" s="7">
        <f>0.26+0.25+0.29+0.65+0.39+0.66</f>
        <v>2.5000000000000004</v>
      </c>
      <c r="H42" s="7">
        <v>0.66</v>
      </c>
      <c r="I42" s="8"/>
      <c r="J42" s="8"/>
      <c r="K42" s="8"/>
      <c r="L42" s="8"/>
    </row>
    <row r="43" spans="1:12" ht="12.75">
      <c r="A43" s="76" t="s">
        <v>206</v>
      </c>
      <c r="B43" s="70" t="s">
        <v>207</v>
      </c>
      <c r="C43" s="69"/>
      <c r="D43" s="10"/>
      <c r="E43" s="7">
        <v>14</v>
      </c>
      <c r="F43" s="7">
        <v>7</v>
      </c>
      <c r="G43" s="7">
        <f>2+3+2</f>
        <v>7</v>
      </c>
      <c r="H43" s="7">
        <v>2</v>
      </c>
      <c r="I43" s="8"/>
      <c r="J43" s="8"/>
      <c r="K43" s="8"/>
      <c r="L43" s="8"/>
    </row>
    <row r="44" spans="1:12" ht="12.75">
      <c r="A44" s="76" t="s">
        <v>208</v>
      </c>
      <c r="B44" s="70" t="s">
        <v>209</v>
      </c>
      <c r="C44" s="69"/>
      <c r="D44" s="10"/>
      <c r="E44" s="7">
        <v>0</v>
      </c>
      <c r="F44" s="7">
        <v>0</v>
      </c>
      <c r="G44" s="7">
        <v>0</v>
      </c>
      <c r="H44" s="7"/>
      <c r="I44" s="8"/>
      <c r="J44" s="8"/>
      <c r="K44" s="8"/>
      <c r="L44" s="8"/>
    </row>
    <row r="45" spans="1:12" s="11" customFormat="1" ht="12.75">
      <c r="A45" s="76" t="s">
        <v>210</v>
      </c>
      <c r="B45" s="70" t="s">
        <v>211</v>
      </c>
      <c r="C45" s="69"/>
      <c r="D45" s="10"/>
      <c r="E45" s="7">
        <v>36</v>
      </c>
      <c r="F45" s="7">
        <v>25</v>
      </c>
      <c r="G45" s="7">
        <f>3.69+3.29+4.52+3.61+3.87+6.01</f>
        <v>24.990000000000002</v>
      </c>
      <c r="H45" s="7">
        <v>6.01</v>
      </c>
      <c r="I45" s="8"/>
      <c r="J45" s="8"/>
      <c r="K45" s="8"/>
      <c r="L45" s="8"/>
    </row>
    <row r="46" spans="1:12" s="113" customFormat="1" ht="26.25">
      <c r="A46" s="67" t="s">
        <v>212</v>
      </c>
      <c r="B46" s="65" t="s">
        <v>213</v>
      </c>
      <c r="C46" s="72">
        <f aca="true" t="shared" si="19" ref="C46:H46">+C47+C76</f>
        <v>0</v>
      </c>
      <c r="D46" s="72">
        <f t="shared" si="19"/>
        <v>194334.53</v>
      </c>
      <c r="E46" s="72">
        <f t="shared" si="19"/>
        <v>188409.63</v>
      </c>
      <c r="F46" s="72">
        <f t="shared" si="19"/>
        <v>108017.73000000001</v>
      </c>
      <c r="G46" s="72">
        <f t="shared" si="19"/>
        <v>106867.03</v>
      </c>
      <c r="H46" s="72">
        <f t="shared" si="19"/>
        <v>17486.929999999997</v>
      </c>
      <c r="I46" s="8"/>
      <c r="J46" s="8"/>
      <c r="K46" s="8"/>
      <c r="L46" s="8"/>
    </row>
    <row r="47" spans="1:12" ht="25.5">
      <c r="A47" s="110"/>
      <c r="B47" s="73" t="s">
        <v>214</v>
      </c>
      <c r="C47" s="74"/>
      <c r="D47" s="10"/>
      <c r="E47" s="7">
        <v>42</v>
      </c>
      <c r="F47" s="7">
        <v>24</v>
      </c>
      <c r="G47" s="7">
        <f>2.99+0.8+3.21+4.69+6.54+5.77</f>
        <v>24</v>
      </c>
      <c r="H47" s="7">
        <v>5.77</v>
      </c>
      <c r="I47" s="8"/>
      <c r="J47" s="8"/>
      <c r="K47" s="8"/>
      <c r="L47" s="8"/>
    </row>
    <row r="48" spans="1:12" s="11" customFormat="1" ht="26.25" customHeight="1">
      <c r="A48" s="76" t="s">
        <v>215</v>
      </c>
      <c r="B48" s="70" t="s">
        <v>216</v>
      </c>
      <c r="C48" s="69"/>
      <c r="D48" s="10"/>
      <c r="E48" s="7">
        <v>199.18</v>
      </c>
      <c r="F48" s="7">
        <v>95.18</v>
      </c>
      <c r="G48" s="7">
        <f>16.37+17.48+14.14+14.31+19.11+13.77</f>
        <v>95.17999999999999</v>
      </c>
      <c r="H48" s="7">
        <v>13.77</v>
      </c>
      <c r="I48" s="8"/>
      <c r="J48" s="8"/>
      <c r="K48" s="8"/>
      <c r="L48" s="8"/>
    </row>
    <row r="49" spans="1:12" s="11" customFormat="1" ht="26.25" customHeight="1">
      <c r="A49" s="76"/>
      <c r="B49" s="70" t="s">
        <v>217</v>
      </c>
      <c r="C49" s="69"/>
      <c r="D49" s="10"/>
      <c r="E49" s="7">
        <v>7.18</v>
      </c>
      <c r="F49" s="7">
        <v>7.18</v>
      </c>
      <c r="G49" s="7">
        <f>3.18+4</f>
        <v>7.18</v>
      </c>
      <c r="H49" s="7">
        <v>4</v>
      </c>
      <c r="I49" s="8"/>
      <c r="J49" s="8"/>
      <c r="K49" s="8"/>
      <c r="L49" s="8"/>
    </row>
    <row r="50" spans="1:12" s="11" customFormat="1" ht="14.25" customHeight="1">
      <c r="A50" s="67" t="s">
        <v>218</v>
      </c>
      <c r="B50" s="70" t="s">
        <v>219</v>
      </c>
      <c r="C50" s="69"/>
      <c r="D50" s="10"/>
      <c r="E50" s="10"/>
      <c r="F50" s="10"/>
      <c r="G50" s="10"/>
      <c r="H50" s="10"/>
      <c r="I50" s="8"/>
      <c r="J50" s="8"/>
      <c r="K50" s="8"/>
      <c r="L50" s="8"/>
    </row>
    <row r="51" spans="1:12" ht="12.75">
      <c r="A51" s="67" t="s">
        <v>220</v>
      </c>
      <c r="B51" s="65" t="s">
        <v>221</v>
      </c>
      <c r="C51" s="75">
        <f aca="true" t="shared" si="20" ref="C51:H51">+C52</f>
        <v>0</v>
      </c>
      <c r="D51" s="75">
        <f t="shared" si="20"/>
        <v>0</v>
      </c>
      <c r="E51" s="75">
        <f t="shared" si="20"/>
        <v>10</v>
      </c>
      <c r="F51" s="75">
        <f t="shared" si="20"/>
        <v>8</v>
      </c>
      <c r="G51" s="75">
        <f t="shared" si="20"/>
        <v>8</v>
      </c>
      <c r="H51" s="75">
        <f t="shared" si="20"/>
        <v>3.02</v>
      </c>
      <c r="I51" s="8"/>
      <c r="J51" s="8"/>
      <c r="K51" s="8"/>
      <c r="L51" s="8"/>
    </row>
    <row r="52" spans="1:12" s="11" customFormat="1" ht="12.75">
      <c r="A52" s="76" t="s">
        <v>222</v>
      </c>
      <c r="B52" s="70" t="s">
        <v>223</v>
      </c>
      <c r="C52" s="69"/>
      <c r="D52" s="10"/>
      <c r="E52" s="10">
        <v>10</v>
      </c>
      <c r="F52" s="10">
        <v>8</v>
      </c>
      <c r="G52" s="10">
        <f>0.47+2.48+2.03+3.02</f>
        <v>8</v>
      </c>
      <c r="H52" s="10">
        <v>3.02</v>
      </c>
      <c r="I52" s="8"/>
      <c r="J52" s="8"/>
      <c r="K52" s="8"/>
      <c r="L52" s="8"/>
    </row>
    <row r="53" spans="1:12" ht="12.75">
      <c r="A53" s="67" t="s">
        <v>224</v>
      </c>
      <c r="B53" s="65" t="s">
        <v>225</v>
      </c>
      <c r="C53" s="66">
        <f aca="true" t="shared" si="21" ref="C53:H53">+C54+C55</f>
        <v>0</v>
      </c>
      <c r="D53" s="66">
        <f t="shared" si="21"/>
        <v>0</v>
      </c>
      <c r="E53" s="66">
        <f t="shared" si="21"/>
        <v>9</v>
      </c>
      <c r="F53" s="66">
        <f t="shared" si="21"/>
        <v>6</v>
      </c>
      <c r="G53" s="66">
        <f t="shared" si="21"/>
        <v>5.99</v>
      </c>
      <c r="H53" s="66">
        <f t="shared" si="21"/>
        <v>1.98</v>
      </c>
      <c r="I53" s="8"/>
      <c r="J53" s="8"/>
      <c r="K53" s="8"/>
      <c r="L53" s="8"/>
    </row>
    <row r="54" spans="1:12" ht="12.75">
      <c r="A54" s="67" t="s">
        <v>226</v>
      </c>
      <c r="B54" s="70" t="s">
        <v>227</v>
      </c>
      <c r="C54" s="69"/>
      <c r="D54" s="10"/>
      <c r="E54" s="7">
        <v>9</v>
      </c>
      <c r="F54" s="7">
        <f>5+1</f>
        <v>6</v>
      </c>
      <c r="G54" s="7">
        <f>0.58+2.36+2.06-0.99+1.98</f>
        <v>5.99</v>
      </c>
      <c r="H54" s="7">
        <v>1.98</v>
      </c>
      <c r="I54" s="8"/>
      <c r="J54" s="8"/>
      <c r="K54" s="8"/>
      <c r="L54" s="8"/>
    </row>
    <row r="55" spans="1:12" ht="12.75">
      <c r="A55" s="67" t="s">
        <v>228</v>
      </c>
      <c r="B55" s="70" t="s">
        <v>229</v>
      </c>
      <c r="C55" s="69"/>
      <c r="D55" s="10"/>
      <c r="E55" s="7"/>
      <c r="F55" s="7"/>
      <c r="G55" s="7"/>
      <c r="H55" s="7"/>
      <c r="I55" s="8"/>
      <c r="J55" s="8"/>
      <c r="K55" s="8"/>
      <c r="L55" s="8"/>
    </row>
    <row r="56" spans="1:12" ht="12.75">
      <c r="A56" s="76" t="s">
        <v>230</v>
      </c>
      <c r="B56" s="70" t="s">
        <v>231</v>
      </c>
      <c r="C56" s="69"/>
      <c r="D56" s="10"/>
      <c r="E56" s="7">
        <v>3</v>
      </c>
      <c r="F56" s="7">
        <v>1.7</v>
      </c>
      <c r="G56" s="7">
        <f>0.22+1.29+0.05+0.14</f>
        <v>1.7000000000000002</v>
      </c>
      <c r="H56" s="7">
        <v>0.14</v>
      </c>
      <c r="I56" s="8"/>
      <c r="J56" s="8"/>
      <c r="K56" s="8"/>
      <c r="L56" s="8"/>
    </row>
    <row r="57" spans="1:12" ht="12.75">
      <c r="A57" s="76" t="s">
        <v>232</v>
      </c>
      <c r="B57" s="68" t="s">
        <v>233</v>
      </c>
      <c r="C57" s="69"/>
      <c r="D57" s="10"/>
      <c r="E57" s="7"/>
      <c r="F57" s="7"/>
      <c r="G57" s="7"/>
      <c r="H57" s="7"/>
      <c r="I57" s="8"/>
      <c r="J57" s="8"/>
      <c r="K57" s="8"/>
      <c r="L57" s="8"/>
    </row>
    <row r="58" spans="1:12" ht="12.75">
      <c r="A58" s="76" t="s">
        <v>234</v>
      </c>
      <c r="B58" s="70" t="s">
        <v>235</v>
      </c>
      <c r="C58" s="69"/>
      <c r="D58" s="10"/>
      <c r="E58" s="7"/>
      <c r="F58" s="7"/>
      <c r="G58" s="7"/>
      <c r="H58" s="7"/>
      <c r="I58" s="8"/>
      <c r="J58" s="8"/>
      <c r="K58" s="8"/>
      <c r="L58" s="8"/>
    </row>
    <row r="59" spans="1:12" s="11" customFormat="1" ht="12.75">
      <c r="A59" s="76" t="s">
        <v>236</v>
      </c>
      <c r="B59" s="70" t="s">
        <v>237</v>
      </c>
      <c r="C59" s="69"/>
      <c r="D59" s="10"/>
      <c r="E59" s="7">
        <v>3</v>
      </c>
      <c r="F59" s="7"/>
      <c r="G59" s="7"/>
      <c r="H59" s="7"/>
      <c r="I59" s="8"/>
      <c r="J59" s="8"/>
      <c r="K59" s="8"/>
      <c r="L59" s="8"/>
    </row>
    <row r="60" spans="1:12" ht="12.75">
      <c r="A60" s="67" t="s">
        <v>238</v>
      </c>
      <c r="B60" s="65" t="s">
        <v>239</v>
      </c>
      <c r="C60" s="75">
        <f aca="true" t="shared" si="22" ref="C60:H60">+C61+C62</f>
        <v>0</v>
      </c>
      <c r="D60" s="75">
        <f t="shared" si="22"/>
        <v>0</v>
      </c>
      <c r="E60" s="75">
        <f t="shared" si="22"/>
        <v>3</v>
      </c>
      <c r="F60" s="75">
        <f t="shared" si="22"/>
        <v>1</v>
      </c>
      <c r="G60" s="75">
        <f t="shared" si="22"/>
        <v>1</v>
      </c>
      <c r="H60" s="75">
        <f t="shared" si="22"/>
        <v>0.3</v>
      </c>
      <c r="I60" s="8"/>
      <c r="J60" s="8"/>
      <c r="K60" s="8"/>
      <c r="L60" s="8"/>
    </row>
    <row r="61" spans="1:12" ht="13.5" customHeight="1">
      <c r="A61" s="76" t="s">
        <v>240</v>
      </c>
      <c r="B61" s="70" t="s">
        <v>241</v>
      </c>
      <c r="C61" s="69"/>
      <c r="D61" s="10"/>
      <c r="E61" s="10"/>
      <c r="F61" s="10"/>
      <c r="G61" s="7"/>
      <c r="H61" s="7">
        <v>0</v>
      </c>
      <c r="I61" s="8"/>
      <c r="J61" s="8"/>
      <c r="K61" s="8"/>
      <c r="L61" s="8"/>
    </row>
    <row r="62" spans="1:12" s="11" customFormat="1" ht="12.75">
      <c r="A62" s="76" t="s">
        <v>242</v>
      </c>
      <c r="B62" s="70" t="s">
        <v>243</v>
      </c>
      <c r="C62" s="69"/>
      <c r="D62" s="10"/>
      <c r="E62" s="7">
        <v>3</v>
      </c>
      <c r="F62" s="7">
        <v>1</v>
      </c>
      <c r="G62" s="120">
        <f>0.14+0.15+0.21+0.2+0.3</f>
        <v>1</v>
      </c>
      <c r="H62" s="120">
        <v>0.3</v>
      </c>
      <c r="I62" s="8"/>
      <c r="J62" s="8"/>
      <c r="K62" s="8"/>
      <c r="L62" s="8"/>
    </row>
    <row r="63" spans="1:12" s="11" customFormat="1" ht="12.75">
      <c r="A63" s="67" t="s">
        <v>244</v>
      </c>
      <c r="B63" s="65" t="s">
        <v>158</v>
      </c>
      <c r="C63" s="64">
        <f>+C64</f>
        <v>0</v>
      </c>
      <c r="D63" s="64">
        <f aca="true" t="shared" si="23" ref="D63:H64">+D64</f>
        <v>0</v>
      </c>
      <c r="E63" s="64">
        <f t="shared" si="23"/>
        <v>0</v>
      </c>
      <c r="F63" s="64">
        <f t="shared" si="23"/>
        <v>0</v>
      </c>
      <c r="G63" s="64">
        <f t="shared" si="23"/>
        <v>0</v>
      </c>
      <c r="H63" s="64">
        <f t="shared" si="23"/>
        <v>0</v>
      </c>
      <c r="I63" s="8"/>
      <c r="J63" s="8"/>
      <c r="K63" s="8"/>
      <c r="L63" s="8"/>
    </row>
    <row r="64" spans="1:12" ht="12.75">
      <c r="A64" s="76" t="s">
        <v>245</v>
      </c>
      <c r="B64" s="65" t="s">
        <v>246</v>
      </c>
      <c r="C64" s="64">
        <f>+C65</f>
        <v>0</v>
      </c>
      <c r="D64" s="64">
        <f t="shared" si="23"/>
        <v>0</v>
      </c>
      <c r="E64" s="64">
        <f t="shared" si="23"/>
        <v>0</v>
      </c>
      <c r="F64" s="64">
        <f t="shared" si="23"/>
        <v>0</v>
      </c>
      <c r="G64" s="64">
        <f t="shared" si="23"/>
        <v>0</v>
      </c>
      <c r="H64" s="64">
        <f t="shared" si="23"/>
        <v>0</v>
      </c>
      <c r="I64" s="8"/>
      <c r="J64" s="8"/>
      <c r="K64" s="8"/>
      <c r="L64" s="8"/>
    </row>
    <row r="65" spans="1:12" s="11" customFormat="1" ht="12.75">
      <c r="A65" s="76" t="s">
        <v>247</v>
      </c>
      <c r="B65" s="70" t="s">
        <v>248</v>
      </c>
      <c r="C65" s="69"/>
      <c r="D65" s="10"/>
      <c r="E65" s="10"/>
      <c r="F65" s="10"/>
      <c r="G65" s="10"/>
      <c r="H65" s="10"/>
      <c r="I65" s="8"/>
      <c r="J65" s="8"/>
      <c r="K65" s="8"/>
      <c r="L65" s="8"/>
    </row>
    <row r="66" spans="1:12" s="11" customFormat="1" ht="12.75">
      <c r="A66" s="67" t="s">
        <v>249</v>
      </c>
      <c r="B66" s="65" t="s">
        <v>162</v>
      </c>
      <c r="C66" s="66">
        <f aca="true" t="shared" si="24" ref="C66:H66">+C67</f>
        <v>0</v>
      </c>
      <c r="D66" s="66">
        <f t="shared" si="24"/>
        <v>0</v>
      </c>
      <c r="E66" s="66">
        <f t="shared" si="24"/>
        <v>0</v>
      </c>
      <c r="F66" s="66">
        <f t="shared" si="24"/>
        <v>0</v>
      </c>
      <c r="G66" s="66">
        <f t="shared" si="24"/>
        <v>0</v>
      </c>
      <c r="H66" s="66">
        <f t="shared" si="24"/>
        <v>0</v>
      </c>
      <c r="I66" s="8"/>
      <c r="J66" s="8"/>
      <c r="K66" s="8"/>
      <c r="L66" s="8"/>
    </row>
    <row r="67" spans="1:12" s="11" customFormat="1" ht="12.75">
      <c r="A67" s="67" t="s">
        <v>250</v>
      </c>
      <c r="B67" s="65" t="s">
        <v>164</v>
      </c>
      <c r="C67" s="66">
        <f aca="true" t="shared" si="25" ref="C67:H67">+C68+C73</f>
        <v>0</v>
      </c>
      <c r="D67" s="66">
        <f t="shared" si="25"/>
        <v>0</v>
      </c>
      <c r="E67" s="66">
        <f t="shared" si="25"/>
        <v>0</v>
      </c>
      <c r="F67" s="66">
        <f t="shared" si="25"/>
        <v>0</v>
      </c>
      <c r="G67" s="66">
        <f t="shared" si="25"/>
        <v>0</v>
      </c>
      <c r="H67" s="66">
        <f t="shared" si="25"/>
        <v>0</v>
      </c>
      <c r="I67" s="8"/>
      <c r="J67" s="8"/>
      <c r="K67" s="8"/>
      <c r="L67" s="8"/>
    </row>
    <row r="68" spans="1:12" s="11" customFormat="1" ht="12.75">
      <c r="A68" s="67" t="s">
        <v>251</v>
      </c>
      <c r="B68" s="65" t="s">
        <v>252</v>
      </c>
      <c r="C68" s="66">
        <f aca="true" t="shared" si="26" ref="C68:H68">+C70+C72+C71+C69</f>
        <v>0</v>
      </c>
      <c r="D68" s="66">
        <f t="shared" si="26"/>
        <v>0</v>
      </c>
      <c r="E68" s="66">
        <f t="shared" si="26"/>
        <v>0</v>
      </c>
      <c r="F68" s="66">
        <f t="shared" si="26"/>
        <v>0</v>
      </c>
      <c r="G68" s="66">
        <f t="shared" si="26"/>
        <v>0</v>
      </c>
      <c r="H68" s="66">
        <f t="shared" si="26"/>
        <v>0</v>
      </c>
      <c r="I68" s="8"/>
      <c r="J68" s="8"/>
      <c r="K68" s="8"/>
      <c r="L68" s="8"/>
    </row>
    <row r="69" spans="1:12" ht="12.75">
      <c r="A69" s="67"/>
      <c r="B69" s="77" t="s">
        <v>253</v>
      </c>
      <c r="C69" s="66"/>
      <c r="D69" s="10"/>
      <c r="E69" s="10"/>
      <c r="F69" s="10"/>
      <c r="G69" s="7"/>
      <c r="H69" s="7"/>
      <c r="I69" s="8"/>
      <c r="J69" s="8"/>
      <c r="K69" s="8"/>
      <c r="L69" s="8"/>
    </row>
    <row r="70" spans="1:12" ht="12.75">
      <c r="A70" s="76" t="s">
        <v>254</v>
      </c>
      <c r="B70" s="70" t="s">
        <v>255</v>
      </c>
      <c r="C70" s="69"/>
      <c r="D70" s="10"/>
      <c r="E70" s="10"/>
      <c r="F70" s="10"/>
      <c r="G70" s="7"/>
      <c r="H70" s="7"/>
      <c r="I70" s="8"/>
      <c r="J70" s="8"/>
      <c r="K70" s="8"/>
      <c r="L70" s="8"/>
    </row>
    <row r="71" spans="1:12" ht="12.75" hidden="1">
      <c r="A71" s="76" t="s">
        <v>256</v>
      </c>
      <c r="B71" s="68" t="s">
        <v>257</v>
      </c>
      <c r="C71" s="69"/>
      <c r="D71" s="10"/>
      <c r="E71" s="10"/>
      <c r="F71" s="10"/>
      <c r="G71" s="7"/>
      <c r="H71" s="7"/>
      <c r="I71" s="8"/>
      <c r="J71" s="8"/>
      <c r="K71" s="8"/>
      <c r="L71" s="8"/>
    </row>
    <row r="72" spans="1:12" ht="12.75">
      <c r="A72" s="76" t="s">
        <v>258</v>
      </c>
      <c r="B72" s="70" t="s">
        <v>259</v>
      </c>
      <c r="C72" s="69"/>
      <c r="D72" s="10"/>
      <c r="E72" s="10"/>
      <c r="F72" s="10"/>
      <c r="G72" s="7"/>
      <c r="H72" s="7"/>
      <c r="I72" s="8"/>
      <c r="J72" s="8"/>
      <c r="K72" s="8"/>
      <c r="L72" s="8"/>
    </row>
    <row r="73" spans="1:12" ht="12.75" hidden="1">
      <c r="A73" s="111"/>
      <c r="B73" s="68" t="s">
        <v>260</v>
      </c>
      <c r="C73" s="69"/>
      <c r="D73" s="10"/>
      <c r="E73" s="10"/>
      <c r="F73" s="10"/>
      <c r="G73" s="7"/>
      <c r="H73" s="7"/>
      <c r="I73" s="8"/>
      <c r="J73" s="8"/>
      <c r="K73" s="8"/>
      <c r="L73" s="8"/>
    </row>
    <row r="74" spans="1:12" ht="12.75">
      <c r="A74" s="76" t="s">
        <v>172</v>
      </c>
      <c r="B74" s="65" t="s">
        <v>261</v>
      </c>
      <c r="C74" s="69"/>
      <c r="D74" s="10"/>
      <c r="E74" s="10"/>
      <c r="F74" s="10"/>
      <c r="G74" s="7"/>
      <c r="H74" s="7"/>
      <c r="I74" s="8"/>
      <c r="J74" s="8"/>
      <c r="K74" s="8"/>
      <c r="L74" s="8"/>
    </row>
    <row r="75" spans="1:12" s="113" customFormat="1" ht="11.25" customHeight="1">
      <c r="A75" s="76" t="s">
        <v>262</v>
      </c>
      <c r="B75" s="65" t="s">
        <v>263</v>
      </c>
      <c r="C75" s="64">
        <f aca="true" t="shared" si="27" ref="C75:H75">+C37-C76+C24+C66</f>
        <v>0</v>
      </c>
      <c r="D75" s="64">
        <f t="shared" si="27"/>
        <v>0</v>
      </c>
      <c r="E75" s="64">
        <f t="shared" si="27"/>
        <v>3189.0699999999933</v>
      </c>
      <c r="F75" s="64">
        <f t="shared" si="27"/>
        <v>1645.1299999999928</v>
      </c>
      <c r="G75" s="64">
        <f t="shared" si="27"/>
        <v>1531.9299999999942</v>
      </c>
      <c r="H75" s="64">
        <f t="shared" si="27"/>
        <v>249.26299999999958</v>
      </c>
      <c r="I75" s="8"/>
      <c r="J75" s="8"/>
      <c r="K75" s="8"/>
      <c r="L75" s="8"/>
    </row>
    <row r="76" spans="1:12" s="113" customFormat="1" ht="15">
      <c r="A76" s="76"/>
      <c r="B76" s="73" t="s">
        <v>264</v>
      </c>
      <c r="C76" s="78">
        <f aca="true" t="shared" si="28" ref="C76:H76">+C77+C110+C129+C130+C144+C145</f>
        <v>0</v>
      </c>
      <c r="D76" s="78">
        <f t="shared" si="28"/>
        <v>194334.53</v>
      </c>
      <c r="E76" s="78">
        <f t="shared" si="28"/>
        <v>188367.63</v>
      </c>
      <c r="F76" s="78">
        <f t="shared" si="28"/>
        <v>107993.73000000001</v>
      </c>
      <c r="G76" s="78">
        <f t="shared" si="28"/>
        <v>106843.03</v>
      </c>
      <c r="H76" s="78">
        <f t="shared" si="28"/>
        <v>17481.159999999996</v>
      </c>
      <c r="I76" s="8"/>
      <c r="J76" s="8"/>
      <c r="K76" s="8"/>
      <c r="L76" s="8"/>
    </row>
    <row r="77" spans="1:12" s="113" customFormat="1" ht="25.5">
      <c r="A77" s="67" t="s">
        <v>265</v>
      </c>
      <c r="B77" s="65" t="s">
        <v>266</v>
      </c>
      <c r="C77" s="66">
        <f aca="true" t="shared" si="29" ref="C77:H77">+C78+C82+C93+C108+C109</f>
        <v>0</v>
      </c>
      <c r="D77" s="66">
        <f t="shared" si="29"/>
        <v>80588.29</v>
      </c>
      <c r="E77" s="66">
        <f t="shared" si="29"/>
        <v>74585.9</v>
      </c>
      <c r="F77" s="66">
        <f t="shared" si="29"/>
        <v>46931.44</v>
      </c>
      <c r="G77" s="66">
        <f t="shared" si="29"/>
        <v>46812.8</v>
      </c>
      <c r="H77" s="66">
        <f t="shared" si="29"/>
        <v>7468.570000000001</v>
      </c>
      <c r="I77" s="8"/>
      <c r="J77" s="8"/>
      <c r="K77" s="8"/>
      <c r="L77" s="8"/>
    </row>
    <row r="78" spans="1:12" s="113" customFormat="1" ht="12.75">
      <c r="A78" s="76" t="s">
        <v>267</v>
      </c>
      <c r="B78" s="65" t="s">
        <v>268</v>
      </c>
      <c r="C78" s="64">
        <f aca="true" t="shared" si="30" ref="C78:H78">+C79+C80+C81</f>
        <v>0</v>
      </c>
      <c r="D78" s="64">
        <f t="shared" si="30"/>
        <v>46745.09</v>
      </c>
      <c r="E78" s="64">
        <f t="shared" si="30"/>
        <v>49855.09</v>
      </c>
      <c r="F78" s="64">
        <f t="shared" si="30"/>
        <v>28626.09</v>
      </c>
      <c r="G78" s="64">
        <f t="shared" si="30"/>
        <v>28577.33</v>
      </c>
      <c r="H78" s="64">
        <f t="shared" si="30"/>
        <v>4201.01</v>
      </c>
      <c r="I78" s="8"/>
      <c r="J78" s="8"/>
      <c r="K78" s="8"/>
      <c r="L78" s="8"/>
    </row>
    <row r="79" spans="1:12" s="113" customFormat="1" ht="12.75">
      <c r="A79" s="76"/>
      <c r="B79" s="68" t="s">
        <v>269</v>
      </c>
      <c r="C79" s="69"/>
      <c r="D79" s="7">
        <v>45469</v>
      </c>
      <c r="E79" s="7">
        <v>48570</v>
      </c>
      <c r="F79" s="7">
        <v>27902</v>
      </c>
      <c r="G79" s="7">
        <f>3567.65+3758.93+6910.42+5186.84+4386.31+4091.2</f>
        <v>27901.350000000002</v>
      </c>
      <c r="H79" s="7">
        <v>4091.2</v>
      </c>
      <c r="I79" s="8"/>
      <c r="J79" s="8"/>
      <c r="K79" s="8"/>
      <c r="L79" s="8"/>
    </row>
    <row r="80" spans="1:12" ht="12.75">
      <c r="A80" s="76"/>
      <c r="B80" s="68" t="s">
        <v>270</v>
      </c>
      <c r="C80" s="69"/>
      <c r="D80" s="7">
        <v>79.09</v>
      </c>
      <c r="E80" s="7">
        <v>79.09</v>
      </c>
      <c r="F80" s="7">
        <v>69.09</v>
      </c>
      <c r="G80" s="7">
        <f>8.63+11.95+12+11+14.79+10.72</f>
        <v>69.09</v>
      </c>
      <c r="H80" s="7">
        <v>10.72</v>
      </c>
      <c r="I80" s="8"/>
      <c r="J80" s="8"/>
      <c r="K80" s="8"/>
      <c r="L80" s="8"/>
    </row>
    <row r="81" spans="1:12" ht="51">
      <c r="A81" s="76"/>
      <c r="B81" s="68" t="s">
        <v>271</v>
      </c>
      <c r="C81" s="69"/>
      <c r="D81" s="7">
        <v>1197</v>
      </c>
      <c r="E81" s="7">
        <v>1206</v>
      </c>
      <c r="F81" s="7">
        <v>655</v>
      </c>
      <c r="G81" s="7">
        <f>106.24+101.67+97.69+98.77+103.43+99.09</f>
        <v>606.89</v>
      </c>
      <c r="H81" s="7">
        <v>99.09</v>
      </c>
      <c r="I81" s="8"/>
      <c r="J81" s="8"/>
      <c r="K81" s="8"/>
      <c r="L81" s="8"/>
    </row>
    <row r="82" spans="1:12" ht="38.25">
      <c r="A82" s="76" t="s">
        <v>272</v>
      </c>
      <c r="B82" s="65" t="s">
        <v>273</v>
      </c>
      <c r="C82" s="69">
        <f aca="true" t="shared" si="31" ref="C82:H82">C83+C84+C85+C86+C87+C88+C89+C92</f>
        <v>0</v>
      </c>
      <c r="D82" s="69">
        <f t="shared" si="31"/>
        <v>21083.52</v>
      </c>
      <c r="E82" s="69">
        <f t="shared" si="31"/>
        <v>12689.74</v>
      </c>
      <c r="F82" s="69">
        <f t="shared" si="31"/>
        <v>11027.52</v>
      </c>
      <c r="G82" s="69">
        <f t="shared" si="31"/>
        <v>11027.46</v>
      </c>
      <c r="H82" s="69">
        <f t="shared" si="31"/>
        <v>2059.62</v>
      </c>
      <c r="I82" s="8"/>
      <c r="J82" s="8"/>
      <c r="K82" s="8"/>
      <c r="L82" s="8"/>
    </row>
    <row r="83" spans="1:12" s="11" customFormat="1" ht="12.75">
      <c r="A83" s="76"/>
      <c r="B83" s="84" t="s">
        <v>274</v>
      </c>
      <c r="C83" s="69"/>
      <c r="D83" s="94">
        <v>59.25</v>
      </c>
      <c r="E83" s="7">
        <v>19.79</v>
      </c>
      <c r="F83" s="7">
        <v>17.69</v>
      </c>
      <c r="G83" s="7">
        <f>2.1+3.78+2.1+3.79+3.37+2.52</f>
        <v>17.66</v>
      </c>
      <c r="H83" s="7">
        <v>2.52</v>
      </c>
      <c r="I83" s="8"/>
      <c r="J83" s="8"/>
      <c r="K83" s="8"/>
      <c r="L83" s="8"/>
    </row>
    <row r="84" spans="1:12" ht="25.5">
      <c r="A84" s="76"/>
      <c r="B84" s="84" t="s">
        <v>275</v>
      </c>
      <c r="C84" s="69"/>
      <c r="D84" s="94"/>
      <c r="E84" s="7"/>
      <c r="F84" s="7"/>
      <c r="G84" s="7"/>
      <c r="H84" s="7"/>
      <c r="I84" s="8"/>
      <c r="J84" s="8"/>
      <c r="K84" s="8"/>
      <c r="L84" s="8"/>
    </row>
    <row r="85" spans="1:12" ht="25.5">
      <c r="A85" s="76"/>
      <c r="B85" s="84" t="s">
        <v>276</v>
      </c>
      <c r="C85" s="69"/>
      <c r="D85" s="94"/>
      <c r="E85" s="7"/>
      <c r="F85" s="7"/>
      <c r="G85" s="7"/>
      <c r="H85" s="7"/>
      <c r="I85" s="8"/>
      <c r="J85" s="8"/>
      <c r="K85" s="8"/>
      <c r="L85" s="8"/>
    </row>
    <row r="86" spans="1:12" ht="12.75">
      <c r="A86" s="76"/>
      <c r="B86" s="84" t="s">
        <v>277</v>
      </c>
      <c r="C86" s="69"/>
      <c r="D86" s="94">
        <v>9264.79</v>
      </c>
      <c r="E86" s="7">
        <v>6256.07</v>
      </c>
      <c r="F86" s="7">
        <v>5402.37</v>
      </c>
      <c r="G86" s="7">
        <f>796.53+943.03+819.89+964.21+868.14+1010.57</f>
        <v>5402.37</v>
      </c>
      <c r="H86" s="7">
        <v>1010.57</v>
      </c>
      <c r="I86" s="8"/>
      <c r="J86" s="8"/>
      <c r="K86" s="8"/>
      <c r="L86" s="8"/>
    </row>
    <row r="87" spans="1:12" ht="12.75">
      <c r="A87" s="76"/>
      <c r="B87" s="88" t="s">
        <v>278</v>
      </c>
      <c r="C87" s="69"/>
      <c r="D87" s="95">
        <v>39.89</v>
      </c>
      <c r="E87" s="7">
        <v>21.13</v>
      </c>
      <c r="F87" s="7">
        <v>17.07</v>
      </c>
      <c r="G87" s="7">
        <f>2.61+3.43+2.1+1.23+4.16+3.54</f>
        <v>17.07</v>
      </c>
      <c r="H87" s="7">
        <v>3.54</v>
      </c>
      <c r="I87" s="8"/>
      <c r="J87" s="8"/>
      <c r="K87" s="8"/>
      <c r="L87" s="8"/>
    </row>
    <row r="88" spans="1:12" ht="25.5">
      <c r="A88" s="76"/>
      <c r="B88" s="84" t="s">
        <v>279</v>
      </c>
      <c r="C88" s="69"/>
      <c r="D88" s="94">
        <v>874.67</v>
      </c>
      <c r="E88" s="7">
        <v>409.45</v>
      </c>
      <c r="F88" s="7">
        <v>357.52</v>
      </c>
      <c r="G88" s="7">
        <f>40.12+100.84+55.61+48.56+72.9+39.47</f>
        <v>357.5</v>
      </c>
      <c r="H88" s="7">
        <v>39.47</v>
      </c>
      <c r="I88" s="8"/>
      <c r="J88" s="8"/>
      <c r="K88" s="8"/>
      <c r="L88" s="8"/>
    </row>
    <row r="89" spans="1:12" ht="12.75">
      <c r="A89" s="76"/>
      <c r="B89" s="84" t="s">
        <v>355</v>
      </c>
      <c r="C89" s="69">
        <f aca="true" t="shared" si="32" ref="C89:H89">C90+C91</f>
        <v>0</v>
      </c>
      <c r="D89" s="69">
        <f t="shared" si="32"/>
        <v>10844.92</v>
      </c>
      <c r="E89" s="69">
        <f t="shared" si="32"/>
        <v>5983.3</v>
      </c>
      <c r="F89" s="69">
        <f t="shared" si="32"/>
        <v>5232.87</v>
      </c>
      <c r="G89" s="69">
        <f t="shared" si="32"/>
        <v>5232.86</v>
      </c>
      <c r="H89" s="69">
        <f t="shared" si="32"/>
        <v>1003.52</v>
      </c>
      <c r="I89" s="8"/>
      <c r="J89" s="8"/>
      <c r="K89" s="8"/>
      <c r="L89" s="8"/>
    </row>
    <row r="90" spans="1:12" ht="12.75">
      <c r="A90" s="76"/>
      <c r="B90" s="84" t="s">
        <v>356</v>
      </c>
      <c r="C90" s="69"/>
      <c r="D90" s="94">
        <v>9935.98</v>
      </c>
      <c r="E90" s="7">
        <v>5789.58</v>
      </c>
      <c r="F90" s="7">
        <v>5114.04</v>
      </c>
      <c r="G90" s="7">
        <f>833.37+1116.83+724.89+609.18+870.8+958.96</f>
        <v>5114.03</v>
      </c>
      <c r="H90" s="7">
        <v>958.96</v>
      </c>
      <c r="I90" s="8"/>
      <c r="J90" s="8"/>
      <c r="K90" s="8"/>
      <c r="L90" s="8"/>
    </row>
    <row r="91" spans="1:12" ht="12.75">
      <c r="A91" s="76"/>
      <c r="B91" s="89" t="s">
        <v>357</v>
      </c>
      <c r="C91" s="69"/>
      <c r="D91" s="121">
        <v>908.94</v>
      </c>
      <c r="E91" s="10">
        <v>193.72</v>
      </c>
      <c r="F91" s="10">
        <v>118.83</v>
      </c>
      <c r="G91" s="7">
        <f>14.85+14.86+44.56+44.56</f>
        <v>118.83000000000001</v>
      </c>
      <c r="H91" s="7">
        <v>44.56</v>
      </c>
      <c r="I91" s="8"/>
      <c r="J91" s="8"/>
      <c r="K91" s="8"/>
      <c r="L91" s="8"/>
    </row>
    <row r="92" spans="1:12" ht="12.75">
      <c r="A92" s="76"/>
      <c r="B92" s="89" t="s">
        <v>280</v>
      </c>
      <c r="C92" s="69"/>
      <c r="D92" s="96"/>
      <c r="E92" s="10"/>
      <c r="F92" s="10"/>
      <c r="G92" s="7"/>
      <c r="H92" s="7"/>
      <c r="I92" s="8"/>
      <c r="J92" s="8"/>
      <c r="K92" s="8"/>
      <c r="L92" s="8"/>
    </row>
    <row r="93" spans="1:12" ht="25.5">
      <c r="A93" s="76" t="s">
        <v>281</v>
      </c>
      <c r="B93" s="65" t="s">
        <v>282</v>
      </c>
      <c r="C93" s="69">
        <f aca="true" t="shared" si="33" ref="C93:H93">C94+C95+C96+C97+C98+C99+C100+C101+C102+C103</f>
        <v>0</v>
      </c>
      <c r="D93" s="69">
        <f t="shared" si="33"/>
        <v>1786.0900000000001</v>
      </c>
      <c r="E93" s="69">
        <f t="shared" si="33"/>
        <v>1127.48</v>
      </c>
      <c r="F93" s="69">
        <f t="shared" si="33"/>
        <v>978.44</v>
      </c>
      <c r="G93" s="69">
        <f t="shared" si="33"/>
        <v>978.44</v>
      </c>
      <c r="H93" s="69">
        <f t="shared" si="33"/>
        <v>179.29000000000002</v>
      </c>
      <c r="I93" s="8"/>
      <c r="J93" s="8"/>
      <c r="K93" s="8"/>
      <c r="L93" s="8"/>
    </row>
    <row r="94" spans="1:12" ht="12.75">
      <c r="A94" s="76"/>
      <c r="B94" s="84" t="s">
        <v>277</v>
      </c>
      <c r="C94" s="69"/>
      <c r="D94" s="94">
        <v>1732.91</v>
      </c>
      <c r="E94" s="7">
        <v>1052.2</v>
      </c>
      <c r="F94" s="7">
        <v>913.87</v>
      </c>
      <c r="G94" s="7">
        <f>136+160.6+144.46+157.04+147.19+168.58</f>
        <v>913.87</v>
      </c>
      <c r="H94" s="7">
        <v>168.58</v>
      </c>
      <c r="I94" s="8"/>
      <c r="J94" s="8"/>
      <c r="K94" s="8"/>
      <c r="L94" s="8"/>
    </row>
    <row r="95" spans="1:12" ht="25.5">
      <c r="A95" s="76"/>
      <c r="B95" s="90" t="s">
        <v>283</v>
      </c>
      <c r="C95" s="69"/>
      <c r="D95" s="97"/>
      <c r="E95" s="7"/>
      <c r="F95" s="7"/>
      <c r="G95" s="7"/>
      <c r="H95" s="7"/>
      <c r="I95" s="8"/>
      <c r="J95" s="8"/>
      <c r="K95" s="8"/>
      <c r="L95" s="8"/>
    </row>
    <row r="96" spans="1:12" ht="12.75">
      <c r="A96" s="76"/>
      <c r="B96" s="91" t="s">
        <v>284</v>
      </c>
      <c r="C96" s="69"/>
      <c r="D96" s="98">
        <v>53.18</v>
      </c>
      <c r="E96" s="7">
        <v>75.28</v>
      </c>
      <c r="F96" s="7">
        <v>64.57</v>
      </c>
      <c r="G96" s="7">
        <f>23.04+9.62+15.8+5.4+10.71</f>
        <v>64.57</v>
      </c>
      <c r="H96" s="7">
        <v>10.71</v>
      </c>
      <c r="I96" s="8"/>
      <c r="J96" s="8"/>
      <c r="K96" s="8"/>
      <c r="L96" s="8"/>
    </row>
    <row r="97" spans="1:12" ht="25.5">
      <c r="A97" s="76"/>
      <c r="B97" s="91" t="s">
        <v>285</v>
      </c>
      <c r="C97" s="69"/>
      <c r="D97" s="98"/>
      <c r="E97" s="10"/>
      <c r="F97" s="10"/>
      <c r="G97" s="7"/>
      <c r="H97" s="7"/>
      <c r="I97" s="8"/>
      <c r="J97" s="8"/>
      <c r="K97" s="8"/>
      <c r="L97" s="8"/>
    </row>
    <row r="98" spans="1:255" s="11" customFormat="1" ht="25.5">
      <c r="A98" s="76"/>
      <c r="B98" s="91" t="s">
        <v>286</v>
      </c>
      <c r="C98" s="69"/>
      <c r="D98" s="98"/>
      <c r="E98" s="10"/>
      <c r="F98" s="10"/>
      <c r="G98" s="7"/>
      <c r="H98" s="7"/>
      <c r="I98" s="8"/>
      <c r="J98" s="8"/>
      <c r="K98" s="8"/>
      <c r="L98" s="8"/>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row>
    <row r="99" spans="1:255" s="11" customFormat="1" ht="12.75">
      <c r="A99" s="76"/>
      <c r="B99" s="84" t="s">
        <v>274</v>
      </c>
      <c r="C99" s="69"/>
      <c r="D99" s="94"/>
      <c r="E99" s="10"/>
      <c r="F99" s="10"/>
      <c r="G99" s="7"/>
      <c r="H99" s="7"/>
      <c r="I99" s="8"/>
      <c r="J99" s="8"/>
      <c r="K99" s="8"/>
      <c r="L99" s="8"/>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row>
    <row r="100" spans="1:12" s="11" customFormat="1" ht="12.75">
      <c r="A100" s="76"/>
      <c r="B100" s="91" t="s">
        <v>287</v>
      </c>
      <c r="C100" s="69"/>
      <c r="D100" s="98"/>
      <c r="E100" s="10"/>
      <c r="F100" s="10"/>
      <c r="G100" s="79"/>
      <c r="H100" s="79"/>
      <c r="I100" s="8"/>
      <c r="J100" s="8"/>
      <c r="K100" s="8"/>
      <c r="L100" s="8"/>
    </row>
    <row r="101" spans="1:12" s="11" customFormat="1" ht="12.75">
      <c r="A101" s="76"/>
      <c r="B101" s="91" t="s">
        <v>288</v>
      </c>
      <c r="C101" s="69"/>
      <c r="D101" s="98"/>
      <c r="E101" s="10"/>
      <c r="F101" s="10"/>
      <c r="G101" s="79"/>
      <c r="H101" s="79"/>
      <c r="I101" s="8"/>
      <c r="J101" s="8"/>
      <c r="K101" s="8"/>
      <c r="L101" s="8"/>
    </row>
    <row r="102" spans="1:255" ht="25.5">
      <c r="A102" s="76"/>
      <c r="B102" s="91" t="s">
        <v>358</v>
      </c>
      <c r="C102" s="69"/>
      <c r="D102" s="98"/>
      <c r="E102" s="10"/>
      <c r="F102" s="10"/>
      <c r="G102" s="79"/>
      <c r="H102" s="79"/>
      <c r="I102" s="8"/>
      <c r="J102" s="8"/>
      <c r="K102" s="8"/>
      <c r="L102" s="8"/>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row>
    <row r="103" spans="1:12" s="11" customFormat="1" ht="25.5">
      <c r="A103" s="76"/>
      <c r="B103" s="91" t="s">
        <v>359</v>
      </c>
      <c r="C103" s="69">
        <f aca="true" t="shared" si="34" ref="C103:H103">C104+C105+C106+C107</f>
        <v>0</v>
      </c>
      <c r="D103" s="69">
        <f t="shared" si="34"/>
        <v>0</v>
      </c>
      <c r="E103" s="69">
        <f t="shared" si="34"/>
        <v>0</v>
      </c>
      <c r="F103" s="69">
        <f t="shared" si="34"/>
        <v>0</v>
      </c>
      <c r="G103" s="69">
        <f t="shared" si="34"/>
        <v>0</v>
      </c>
      <c r="H103" s="69">
        <f t="shared" si="34"/>
        <v>0</v>
      </c>
      <c r="I103" s="8"/>
      <c r="J103" s="8"/>
      <c r="K103" s="8"/>
      <c r="L103" s="8"/>
    </row>
    <row r="104" spans="1:12" s="11" customFormat="1" ht="12.75">
      <c r="A104" s="76"/>
      <c r="B104" s="91" t="s">
        <v>312</v>
      </c>
      <c r="C104" s="69"/>
      <c r="D104" s="98"/>
      <c r="E104" s="10"/>
      <c r="F104" s="10"/>
      <c r="G104" s="79"/>
      <c r="H104" s="79"/>
      <c r="I104" s="8"/>
      <c r="J104" s="8"/>
      <c r="K104" s="8"/>
      <c r="L104" s="8"/>
    </row>
    <row r="105" spans="1:12" s="11" customFormat="1" ht="25.5">
      <c r="A105" s="76"/>
      <c r="B105" s="91" t="s">
        <v>313</v>
      </c>
      <c r="C105" s="69"/>
      <c r="D105" s="98"/>
      <c r="E105" s="10"/>
      <c r="F105" s="10"/>
      <c r="G105" s="79"/>
      <c r="H105" s="79"/>
      <c r="I105" s="8"/>
      <c r="J105" s="8"/>
      <c r="K105" s="8"/>
      <c r="L105" s="8"/>
    </row>
    <row r="106" spans="1:12" s="11" customFormat="1" ht="25.5">
      <c r="A106" s="76"/>
      <c r="B106" s="92" t="s">
        <v>314</v>
      </c>
      <c r="C106" s="69"/>
      <c r="D106" s="99"/>
      <c r="E106" s="10"/>
      <c r="F106" s="10"/>
      <c r="G106" s="79"/>
      <c r="H106" s="79"/>
      <c r="I106" s="8"/>
      <c r="J106" s="8"/>
      <c r="K106" s="8"/>
      <c r="L106" s="8"/>
    </row>
    <row r="107" spans="1:12" s="11" customFormat="1" ht="25.5">
      <c r="A107" s="76"/>
      <c r="B107" s="92" t="s">
        <v>315</v>
      </c>
      <c r="C107" s="69"/>
      <c r="D107" s="99"/>
      <c r="E107" s="10"/>
      <c r="F107" s="10"/>
      <c r="G107" s="79"/>
      <c r="H107" s="79"/>
      <c r="I107" s="8"/>
      <c r="J107" s="8"/>
      <c r="K107" s="8"/>
      <c r="L107" s="8"/>
    </row>
    <row r="108" spans="1:12" s="11" customFormat="1" ht="12.75">
      <c r="A108" s="76" t="s">
        <v>289</v>
      </c>
      <c r="B108" s="80" t="s">
        <v>351</v>
      </c>
      <c r="C108" s="64"/>
      <c r="D108" s="7">
        <v>8746.59</v>
      </c>
      <c r="E108" s="7">
        <v>8746.59</v>
      </c>
      <c r="F108" s="7">
        <f>2242.5+2632.89</f>
        <v>4875.389999999999</v>
      </c>
      <c r="G108" s="7">
        <f>845.91+661.2+735.39+862.51+848.68+851.88</f>
        <v>4805.57</v>
      </c>
      <c r="H108" s="7">
        <v>851.88</v>
      </c>
      <c r="I108" s="8"/>
      <c r="J108" s="8"/>
      <c r="K108" s="8"/>
      <c r="L108" s="8"/>
    </row>
    <row r="109" spans="1:255" s="11" customFormat="1" ht="12.75">
      <c r="A109" s="76" t="s">
        <v>290</v>
      </c>
      <c r="B109" s="70" t="s">
        <v>352</v>
      </c>
      <c r="C109" s="69"/>
      <c r="D109" s="7">
        <v>2227</v>
      </c>
      <c r="E109" s="7">
        <v>2167</v>
      </c>
      <c r="F109" s="7">
        <v>1424</v>
      </c>
      <c r="G109" s="120">
        <f>301.15+212.84+270.01+213.24+249.99+176.77</f>
        <v>1424</v>
      </c>
      <c r="H109" s="120">
        <v>176.77</v>
      </c>
      <c r="I109" s="8"/>
      <c r="J109" s="8"/>
      <c r="K109" s="8"/>
      <c r="L109" s="8"/>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12" s="11" customFormat="1" ht="12.75">
      <c r="A110" s="67" t="s">
        <v>291</v>
      </c>
      <c r="B110" s="65" t="s">
        <v>292</v>
      </c>
      <c r="C110" s="66">
        <f aca="true" t="shared" si="35" ref="C110:H110">+C111+C115+C118+C121+C125</f>
        <v>0</v>
      </c>
      <c r="D110" s="66">
        <f t="shared" si="35"/>
        <v>29942.27</v>
      </c>
      <c r="E110" s="66">
        <f t="shared" si="35"/>
        <v>29569.760000000002</v>
      </c>
      <c r="F110" s="66">
        <f t="shared" si="35"/>
        <v>15454.86</v>
      </c>
      <c r="G110" s="66">
        <f>+G111+G115+G118+G121+G125</f>
        <v>14955.430000000002</v>
      </c>
      <c r="H110" s="66">
        <f t="shared" si="35"/>
        <v>2513.16</v>
      </c>
      <c r="I110" s="8"/>
      <c r="J110" s="8"/>
      <c r="K110" s="8"/>
      <c r="L110" s="8"/>
    </row>
    <row r="111" spans="1:12" s="11" customFormat="1" ht="12.75">
      <c r="A111" s="67" t="s">
        <v>293</v>
      </c>
      <c r="B111" s="65" t="s">
        <v>294</v>
      </c>
      <c r="C111" s="64">
        <f aca="true" t="shared" si="36" ref="C111:H111">+C112+C114+C113</f>
        <v>0</v>
      </c>
      <c r="D111" s="64">
        <f t="shared" si="36"/>
        <v>19506</v>
      </c>
      <c r="E111" s="64">
        <f t="shared" si="36"/>
        <v>19506</v>
      </c>
      <c r="F111" s="64">
        <f t="shared" si="36"/>
        <v>10219</v>
      </c>
      <c r="G111" s="64">
        <f t="shared" si="36"/>
        <v>9833.340000000002</v>
      </c>
      <c r="H111" s="64">
        <f t="shared" si="36"/>
        <v>1614.53</v>
      </c>
      <c r="I111" s="8"/>
      <c r="J111" s="8"/>
      <c r="K111" s="8"/>
      <c r="L111" s="8"/>
    </row>
    <row r="112" spans="1:255" ht="12.75">
      <c r="A112" s="76"/>
      <c r="B112" s="81" t="s">
        <v>295</v>
      </c>
      <c r="C112" s="69"/>
      <c r="D112" s="7">
        <v>19001</v>
      </c>
      <c r="E112" s="7">
        <v>19001</v>
      </c>
      <c r="F112" s="7">
        <v>9941</v>
      </c>
      <c r="G112" s="7">
        <f>1620+1570+1813+1365.01+1651.1+1568.78</f>
        <v>9587.890000000001</v>
      </c>
      <c r="H112" s="7">
        <v>1568.78</v>
      </c>
      <c r="I112" s="8"/>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2.75">
      <c r="A113" s="76"/>
      <c r="B113" s="81" t="s">
        <v>353</v>
      </c>
      <c r="C113" s="69"/>
      <c r="D113" s="7"/>
      <c r="E113" s="7"/>
      <c r="F113" s="7"/>
      <c r="G113" s="7"/>
      <c r="H113" s="7"/>
      <c r="I113" s="8"/>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2.75">
      <c r="A114" s="76"/>
      <c r="B114" s="81" t="s">
        <v>296</v>
      </c>
      <c r="C114" s="69"/>
      <c r="D114" s="7">
        <v>505</v>
      </c>
      <c r="E114" s="7">
        <v>505</v>
      </c>
      <c r="F114" s="7">
        <v>278</v>
      </c>
      <c r="G114" s="68">
        <f>22+46+50+35.09+46.61+45.75</f>
        <v>245.45</v>
      </c>
      <c r="H114" s="68">
        <v>45.75</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76" t="s">
        <v>297</v>
      </c>
      <c r="B115" s="82" t="s">
        <v>298</v>
      </c>
      <c r="C115" s="69">
        <f aca="true" t="shared" si="37" ref="C115:H115">C116+C117</f>
        <v>0</v>
      </c>
      <c r="D115" s="69">
        <f t="shared" si="37"/>
        <v>5832</v>
      </c>
      <c r="E115" s="69">
        <f t="shared" si="37"/>
        <v>5553</v>
      </c>
      <c r="F115" s="69">
        <f t="shared" si="37"/>
        <v>2721</v>
      </c>
      <c r="G115" s="69">
        <f t="shared" si="37"/>
        <v>2720.12</v>
      </c>
      <c r="H115" s="69">
        <f t="shared" si="37"/>
        <v>439.89</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5">
      <c r="A116" s="76"/>
      <c r="B116" s="104" t="s">
        <v>269</v>
      </c>
      <c r="C116" s="69"/>
      <c r="D116" s="7">
        <v>5832</v>
      </c>
      <c r="E116" s="7">
        <v>5553</v>
      </c>
      <c r="F116" s="7">
        <v>2721</v>
      </c>
      <c r="G116" s="68">
        <f>450+410+385.95+593.73+440.55+439.89</f>
        <v>2720.12</v>
      </c>
      <c r="H116" s="68">
        <v>439.89</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5">
      <c r="A117" s="76"/>
      <c r="B117" s="104" t="s">
        <v>347</v>
      </c>
      <c r="C117" s="69"/>
      <c r="D117" s="10"/>
      <c r="E117" s="10"/>
      <c r="F117" s="10"/>
      <c r="G117" s="77"/>
      <c r="H117" s="77"/>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12" s="11" customFormat="1" ht="12.75">
      <c r="A118" s="67" t="s">
        <v>299</v>
      </c>
      <c r="B118" s="83" t="s">
        <v>300</v>
      </c>
      <c r="C118" s="69">
        <f aca="true" t="shared" si="38" ref="C118:H118">+C119+C120</f>
        <v>0</v>
      </c>
      <c r="D118" s="69">
        <f t="shared" si="38"/>
        <v>583</v>
      </c>
      <c r="E118" s="69">
        <f t="shared" si="38"/>
        <v>595</v>
      </c>
      <c r="F118" s="69">
        <f t="shared" si="38"/>
        <v>321</v>
      </c>
      <c r="G118" s="69">
        <f t="shared" si="38"/>
        <v>310.82</v>
      </c>
      <c r="H118" s="69">
        <f t="shared" si="38"/>
        <v>49.13</v>
      </c>
      <c r="I118" s="8"/>
      <c r="J118" s="8"/>
      <c r="K118" s="8"/>
      <c r="L118" s="8"/>
    </row>
    <row r="119" spans="1:255" ht="12.75">
      <c r="A119" s="76"/>
      <c r="B119" s="81" t="s">
        <v>295</v>
      </c>
      <c r="C119" s="69"/>
      <c r="D119" s="7">
        <v>583</v>
      </c>
      <c r="E119" s="7">
        <v>595</v>
      </c>
      <c r="F119" s="7">
        <v>321</v>
      </c>
      <c r="G119" s="7">
        <f>68.5+49.1+51.4+47.45+45.24+49.13</f>
        <v>310.82</v>
      </c>
      <c r="H119" s="7">
        <v>49.13</v>
      </c>
      <c r="I119" s="8"/>
      <c r="J119" s="8"/>
      <c r="K119" s="8"/>
      <c r="L119" s="8"/>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row>
    <row r="120" spans="1:32" ht="25.5">
      <c r="A120" s="76"/>
      <c r="B120" s="81" t="s">
        <v>301</v>
      </c>
      <c r="C120" s="69"/>
      <c r="D120" s="10"/>
      <c r="E120" s="10"/>
      <c r="F120" s="10"/>
      <c r="G120" s="7"/>
      <c r="H120" s="7"/>
      <c r="I120" s="29"/>
      <c r="J120" s="29"/>
      <c r="K120" s="8"/>
      <c r="L120" s="8"/>
      <c r="M120" s="29"/>
      <c r="N120" s="29"/>
      <c r="O120" s="29"/>
      <c r="P120" s="29"/>
      <c r="Q120" s="29"/>
      <c r="R120" s="29"/>
      <c r="S120" s="29"/>
      <c r="T120" s="29"/>
      <c r="U120" s="29"/>
      <c r="V120" s="29"/>
      <c r="W120" s="29"/>
      <c r="X120" s="29"/>
      <c r="Y120" s="29"/>
      <c r="Z120" s="29"/>
      <c r="AA120" s="29"/>
      <c r="AB120" s="29"/>
      <c r="AC120" s="29"/>
      <c r="AD120" s="29"/>
      <c r="AE120" s="29"/>
      <c r="AF120" s="29"/>
    </row>
    <row r="121" spans="1:12" ht="25.5">
      <c r="A121" s="67" t="s">
        <v>302</v>
      </c>
      <c r="B121" s="83" t="s">
        <v>303</v>
      </c>
      <c r="C121" s="64">
        <f aca="true" t="shared" si="39" ref="C121:H121">+C122+C123+C124</f>
        <v>0</v>
      </c>
      <c r="D121" s="64">
        <f t="shared" si="39"/>
        <v>3124.27</v>
      </c>
      <c r="E121" s="64">
        <f t="shared" si="39"/>
        <v>3120.76</v>
      </c>
      <c r="F121" s="64">
        <f t="shared" si="39"/>
        <v>1832.86</v>
      </c>
      <c r="G121" s="64">
        <f t="shared" si="39"/>
        <v>1783.6599999999999</v>
      </c>
      <c r="H121" s="64">
        <f t="shared" si="39"/>
        <v>300.74</v>
      </c>
      <c r="I121" s="8"/>
      <c r="J121" s="8"/>
      <c r="K121" s="8"/>
      <c r="L121" s="8"/>
    </row>
    <row r="122" spans="1:12" ht="12.75">
      <c r="A122" s="76"/>
      <c r="B122" s="68" t="s">
        <v>342</v>
      </c>
      <c r="C122" s="69"/>
      <c r="D122" s="7">
        <v>3114</v>
      </c>
      <c r="E122" s="7">
        <v>3113</v>
      </c>
      <c r="F122" s="7">
        <v>1826</v>
      </c>
      <c r="G122" s="7">
        <f>309.27+287+353.73+237+290.28+299.63</f>
        <v>1776.9099999999999</v>
      </c>
      <c r="H122" s="7">
        <v>299.63</v>
      </c>
      <c r="I122" s="8"/>
      <c r="J122" s="8"/>
      <c r="K122" s="8"/>
      <c r="L122" s="8"/>
    </row>
    <row r="123" spans="1:40" ht="25.5">
      <c r="A123" s="76"/>
      <c r="B123" s="68" t="s">
        <v>343</v>
      </c>
      <c r="C123" s="69"/>
      <c r="D123" s="7"/>
      <c r="E123" s="7"/>
      <c r="F123" s="7"/>
      <c r="G123" s="10"/>
      <c r="H123" s="10"/>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row>
    <row r="124" spans="1:255" ht="25.5">
      <c r="A124" s="76"/>
      <c r="B124" s="68" t="s">
        <v>304</v>
      </c>
      <c r="C124" s="69"/>
      <c r="D124" s="7">
        <v>10.27</v>
      </c>
      <c r="E124" s="7">
        <v>7.76</v>
      </c>
      <c r="F124" s="7">
        <v>6.86</v>
      </c>
      <c r="G124" s="7">
        <f>1.2+0.58+0.98+1.34+1.54+1.11</f>
        <v>6.75</v>
      </c>
      <c r="H124" s="7">
        <v>1.11</v>
      </c>
      <c r="I124" s="8"/>
      <c r="J124" s="8"/>
      <c r="K124" s="8"/>
      <c r="L124" s="8"/>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12" ht="25.5">
      <c r="A125" s="67" t="s">
        <v>305</v>
      </c>
      <c r="B125" s="83" t="s">
        <v>306</v>
      </c>
      <c r="C125" s="69">
        <f aca="true" t="shared" si="40" ref="C125:H125">+C126+C128+C127</f>
        <v>0</v>
      </c>
      <c r="D125" s="69">
        <f t="shared" si="40"/>
        <v>897</v>
      </c>
      <c r="E125" s="69">
        <f t="shared" si="40"/>
        <v>795</v>
      </c>
      <c r="F125" s="69">
        <f t="shared" si="40"/>
        <v>361</v>
      </c>
      <c r="G125" s="69">
        <f t="shared" si="40"/>
        <v>307.49</v>
      </c>
      <c r="H125" s="69">
        <f t="shared" si="40"/>
        <v>108.87</v>
      </c>
      <c r="K125" s="8"/>
      <c r="L125" s="8"/>
    </row>
    <row r="126" spans="1:12" ht="12.75">
      <c r="A126" s="67"/>
      <c r="B126" s="81" t="s">
        <v>295</v>
      </c>
      <c r="C126" s="69"/>
      <c r="D126" s="7">
        <v>897</v>
      </c>
      <c r="E126" s="7">
        <v>795</v>
      </c>
      <c r="F126" s="7">
        <v>361</v>
      </c>
      <c r="G126" s="7">
        <f>18.04+45.52+45.05+44.97+45.04+108.87</f>
        <v>307.49</v>
      </c>
      <c r="H126" s="7">
        <v>108.87</v>
      </c>
      <c r="K126" s="8"/>
      <c r="L126" s="8"/>
    </row>
    <row r="127" spans="1:12" ht="15">
      <c r="A127" s="67"/>
      <c r="B127" s="104" t="s">
        <v>347</v>
      </c>
      <c r="C127" s="69"/>
      <c r="D127" s="10"/>
      <c r="E127" s="10"/>
      <c r="F127" s="10"/>
      <c r="G127" s="7"/>
      <c r="H127" s="7"/>
      <c r="K127" s="8"/>
      <c r="L127" s="8"/>
    </row>
    <row r="128" spans="1:12" ht="25.5">
      <c r="A128" s="76"/>
      <c r="B128" s="81" t="s">
        <v>301</v>
      </c>
      <c r="C128" s="69"/>
      <c r="D128" s="10"/>
      <c r="E128" s="10"/>
      <c r="F128" s="10"/>
      <c r="G128" s="7"/>
      <c r="H128" s="7"/>
      <c r="K128" s="8"/>
      <c r="L128" s="8"/>
    </row>
    <row r="129" spans="1:12" ht="12.75">
      <c r="A129" s="67" t="s">
        <v>307</v>
      </c>
      <c r="B129" s="65" t="s">
        <v>354</v>
      </c>
      <c r="C129" s="69"/>
      <c r="D129" s="69">
        <v>51</v>
      </c>
      <c r="E129" s="69">
        <v>34</v>
      </c>
      <c r="F129" s="69">
        <v>12</v>
      </c>
      <c r="G129" s="69">
        <v>0</v>
      </c>
      <c r="H129" s="69">
        <v>0</v>
      </c>
      <c r="K129" s="8"/>
      <c r="L129" s="8"/>
    </row>
    <row r="130" spans="1:12" ht="12.75">
      <c r="A130" s="67" t="s">
        <v>308</v>
      </c>
      <c r="B130" s="65" t="s">
        <v>309</v>
      </c>
      <c r="C130" s="66">
        <f aca="true" t="shared" si="41" ref="C130:H130">+C131+C141</f>
        <v>0</v>
      </c>
      <c r="D130" s="66">
        <f t="shared" si="41"/>
        <v>80582</v>
      </c>
      <c r="E130" s="66">
        <f t="shared" si="41"/>
        <v>80982</v>
      </c>
      <c r="F130" s="66">
        <f t="shared" si="41"/>
        <v>42719.46</v>
      </c>
      <c r="G130" s="66">
        <f t="shared" si="41"/>
        <v>42198.83</v>
      </c>
      <c r="H130" s="66">
        <f t="shared" si="41"/>
        <v>7176.76</v>
      </c>
      <c r="I130" s="29"/>
      <c r="J130" s="29"/>
      <c r="K130" s="8"/>
      <c r="L130" s="8"/>
    </row>
    <row r="131" spans="1:12" ht="12.75">
      <c r="A131" s="76" t="s">
        <v>310</v>
      </c>
      <c r="B131" s="70" t="s">
        <v>311</v>
      </c>
      <c r="C131" s="69">
        <f aca="true" t="shared" si="42" ref="C131:H131">C132+C135+C134+C140+C133</f>
        <v>0</v>
      </c>
      <c r="D131" s="69">
        <f t="shared" si="42"/>
        <v>79045</v>
      </c>
      <c r="E131" s="69">
        <f t="shared" si="42"/>
        <v>79467</v>
      </c>
      <c r="F131" s="69">
        <f t="shared" si="42"/>
        <v>41762.87</v>
      </c>
      <c r="G131" s="69">
        <f t="shared" si="42"/>
        <v>41390.05</v>
      </c>
      <c r="H131" s="69">
        <f t="shared" si="42"/>
        <v>7035.360000000001</v>
      </c>
      <c r="I131" s="29"/>
      <c r="J131" s="29"/>
      <c r="K131" s="8"/>
      <c r="L131" s="8"/>
    </row>
    <row r="132" spans="1:12" ht="12.75">
      <c r="A132" s="76"/>
      <c r="B132" s="68" t="s">
        <v>269</v>
      </c>
      <c r="C132" s="69"/>
      <c r="D132" s="7">
        <v>68057</v>
      </c>
      <c r="E132" s="7">
        <v>68483</v>
      </c>
      <c r="F132" s="7">
        <v>36258</v>
      </c>
      <c r="G132" s="7">
        <f>5489+5940+6120+6189.99+6040.81+6120.42</f>
        <v>35900.22</v>
      </c>
      <c r="H132" s="7">
        <v>6120.42</v>
      </c>
      <c r="I132" s="29"/>
      <c r="J132" s="29"/>
      <c r="K132" s="8"/>
      <c r="L132" s="8"/>
    </row>
    <row r="133" spans="1:12" ht="15">
      <c r="A133" s="76"/>
      <c r="B133" s="104" t="s">
        <v>347</v>
      </c>
      <c r="C133" s="69"/>
      <c r="D133" s="7">
        <v>10988</v>
      </c>
      <c r="E133" s="7">
        <v>10984</v>
      </c>
      <c r="F133" s="7">
        <v>5504.87</v>
      </c>
      <c r="G133" s="7">
        <f>905+867.87+972+908+922.02+914.94</f>
        <v>5489.83</v>
      </c>
      <c r="H133" s="7">
        <v>914.94</v>
      </c>
      <c r="I133" s="29"/>
      <c r="J133" s="29"/>
      <c r="K133" s="8"/>
      <c r="L133" s="8"/>
    </row>
    <row r="134" spans="1:12" ht="25.5">
      <c r="A134" s="76"/>
      <c r="B134" s="84" t="s">
        <v>344</v>
      </c>
      <c r="C134" s="69"/>
      <c r="D134" s="10"/>
      <c r="E134" s="10"/>
      <c r="F134" s="10"/>
      <c r="G134" s="7"/>
      <c r="H134" s="7"/>
      <c r="I134" s="29"/>
      <c r="J134" s="29"/>
      <c r="K134" s="8"/>
      <c r="L134" s="8"/>
    </row>
    <row r="135" spans="1:12" ht="25.5">
      <c r="A135" s="76"/>
      <c r="B135" s="84" t="s">
        <v>359</v>
      </c>
      <c r="C135" s="69">
        <f aca="true" t="shared" si="43" ref="C135:H135">C136+C137+C138+C139</f>
        <v>0</v>
      </c>
      <c r="D135" s="69">
        <f t="shared" si="43"/>
        <v>0</v>
      </c>
      <c r="E135" s="69">
        <f t="shared" si="43"/>
        <v>0</v>
      </c>
      <c r="F135" s="69">
        <f t="shared" si="43"/>
        <v>0</v>
      </c>
      <c r="G135" s="69">
        <f t="shared" si="43"/>
        <v>0</v>
      </c>
      <c r="H135" s="69">
        <f t="shared" si="43"/>
        <v>0</v>
      </c>
      <c r="K135" s="8"/>
      <c r="L135" s="8"/>
    </row>
    <row r="136" spans="1:12" ht="12.75">
      <c r="A136" s="76"/>
      <c r="B136" s="84" t="s">
        <v>312</v>
      </c>
      <c r="C136" s="69"/>
      <c r="D136" s="69"/>
      <c r="E136" s="69"/>
      <c r="F136" s="69"/>
      <c r="G136" s="69"/>
      <c r="H136" s="69"/>
      <c r="K136" s="8"/>
      <c r="L136" s="8"/>
    </row>
    <row r="137" spans="1:12" ht="25.5">
      <c r="A137" s="76"/>
      <c r="B137" s="84" t="s">
        <v>313</v>
      </c>
      <c r="C137" s="69"/>
      <c r="D137" s="69"/>
      <c r="E137" s="69"/>
      <c r="F137" s="69"/>
      <c r="G137" s="69"/>
      <c r="H137" s="69"/>
      <c r="K137" s="8"/>
      <c r="L137" s="8"/>
    </row>
    <row r="138" spans="1:12" ht="25.5">
      <c r="A138" s="76"/>
      <c r="B138" s="84" t="s">
        <v>314</v>
      </c>
      <c r="C138" s="69"/>
      <c r="D138" s="69"/>
      <c r="E138" s="69"/>
      <c r="F138" s="69"/>
      <c r="G138" s="69"/>
      <c r="H138" s="69"/>
      <c r="K138" s="8" t="s">
        <v>372</v>
      </c>
      <c r="L138" s="8"/>
    </row>
    <row r="139" spans="1:12" ht="25.5">
      <c r="A139" s="76"/>
      <c r="B139" s="84" t="s">
        <v>315</v>
      </c>
      <c r="C139" s="69"/>
      <c r="D139" s="69"/>
      <c r="E139" s="69"/>
      <c r="F139" s="69"/>
      <c r="G139" s="69"/>
      <c r="H139" s="69"/>
      <c r="K139" s="8"/>
      <c r="L139" s="8"/>
    </row>
    <row r="140" spans="1:12" ht="25.5">
      <c r="A140" s="76"/>
      <c r="B140" s="93" t="s">
        <v>345</v>
      </c>
      <c r="C140" s="69"/>
      <c r="D140" s="10"/>
      <c r="E140" s="10"/>
      <c r="F140" s="10"/>
      <c r="G140" s="7"/>
      <c r="H140" s="7"/>
      <c r="K140" s="8"/>
      <c r="L140" s="8"/>
    </row>
    <row r="141" spans="1:12" ht="12.75">
      <c r="A141" s="76" t="s">
        <v>316</v>
      </c>
      <c r="B141" s="70" t="s">
        <v>317</v>
      </c>
      <c r="C141" s="69">
        <f aca="true" t="shared" si="44" ref="C141:H141">C142+C143</f>
        <v>0</v>
      </c>
      <c r="D141" s="69">
        <f t="shared" si="44"/>
        <v>1537</v>
      </c>
      <c r="E141" s="69">
        <f t="shared" si="44"/>
        <v>1515</v>
      </c>
      <c r="F141" s="69">
        <f t="shared" si="44"/>
        <v>956.59</v>
      </c>
      <c r="G141" s="69">
        <f t="shared" si="44"/>
        <v>808.78</v>
      </c>
      <c r="H141" s="69">
        <f t="shared" si="44"/>
        <v>141.4</v>
      </c>
      <c r="K141" s="8"/>
      <c r="L141" s="8"/>
    </row>
    <row r="142" spans="1:12" ht="15">
      <c r="A142" s="76"/>
      <c r="B142" s="104" t="s">
        <v>269</v>
      </c>
      <c r="C142" s="69"/>
      <c r="D142" s="7">
        <v>1368</v>
      </c>
      <c r="E142" s="7">
        <v>1341</v>
      </c>
      <c r="F142" s="7">
        <v>866</v>
      </c>
      <c r="G142" s="7">
        <f>117.43+124.93+113.59+116.25+120.9+126.54</f>
        <v>719.64</v>
      </c>
      <c r="H142" s="7">
        <v>126.54</v>
      </c>
      <c r="K142" s="8"/>
      <c r="L142" s="8"/>
    </row>
    <row r="143" spans="1:12" ht="15">
      <c r="A143" s="76"/>
      <c r="B143" s="104" t="s">
        <v>347</v>
      </c>
      <c r="C143" s="69"/>
      <c r="D143" s="7">
        <v>169</v>
      </c>
      <c r="E143" s="7">
        <v>174</v>
      </c>
      <c r="F143" s="7">
        <v>90.59</v>
      </c>
      <c r="G143" s="7">
        <f>10.25+13.91+20.42+14.3+15.4+14.86</f>
        <v>89.14</v>
      </c>
      <c r="H143" s="7">
        <v>14.86</v>
      </c>
      <c r="K143" s="8"/>
      <c r="L143" s="8"/>
    </row>
    <row r="144" spans="1:12" ht="12.75">
      <c r="A144" s="67" t="s">
        <v>318</v>
      </c>
      <c r="B144" s="65" t="s">
        <v>319</v>
      </c>
      <c r="C144" s="69"/>
      <c r="D144" s="7">
        <v>589</v>
      </c>
      <c r="E144" s="7">
        <v>614</v>
      </c>
      <c r="F144" s="7">
        <v>294</v>
      </c>
      <c r="G144" s="7">
        <f>50+70+37+34.81+50.55+51.64</f>
        <v>294</v>
      </c>
      <c r="H144" s="7">
        <v>51.64</v>
      </c>
      <c r="K144" s="8"/>
      <c r="L144" s="8"/>
    </row>
    <row r="145" spans="1:12" ht="25.5">
      <c r="A145" s="67" t="s">
        <v>320</v>
      </c>
      <c r="B145" s="65" t="s">
        <v>321</v>
      </c>
      <c r="C145" s="69"/>
      <c r="D145" s="7">
        <v>2581.97</v>
      </c>
      <c r="E145" s="7">
        <v>2581.97</v>
      </c>
      <c r="F145" s="7">
        <v>2581.97</v>
      </c>
      <c r="G145" s="7">
        <f>2581.97</f>
        <v>2581.97</v>
      </c>
      <c r="H145" s="7">
        <v>271.03</v>
      </c>
      <c r="I145" s="29"/>
      <c r="K145" s="8"/>
      <c r="L145" s="8"/>
    </row>
    <row r="146" spans="1:12" ht="12.75">
      <c r="A146" s="67">
        <v>68.05</v>
      </c>
      <c r="B146" s="85" t="s">
        <v>322</v>
      </c>
      <c r="C146" s="75">
        <f>+C147</f>
        <v>0</v>
      </c>
      <c r="D146" s="75">
        <f aca="true" t="shared" si="45" ref="D146:H148">+D147</f>
        <v>0</v>
      </c>
      <c r="E146" s="75">
        <f t="shared" si="45"/>
        <v>13263</v>
      </c>
      <c r="F146" s="75">
        <f t="shared" si="45"/>
        <v>6823</v>
      </c>
      <c r="G146" s="75">
        <f t="shared" si="45"/>
        <v>6822.25</v>
      </c>
      <c r="H146" s="75">
        <f t="shared" si="45"/>
        <v>1013.94</v>
      </c>
      <c r="I146" s="29"/>
      <c r="J146" s="29"/>
      <c r="K146" s="8"/>
      <c r="L146" s="8"/>
    </row>
    <row r="147" spans="1:12" ht="12.75">
      <c r="A147" s="67" t="s">
        <v>323</v>
      </c>
      <c r="B147" s="85" t="s">
        <v>152</v>
      </c>
      <c r="C147" s="75">
        <f>+C148</f>
        <v>0</v>
      </c>
      <c r="D147" s="75">
        <f t="shared" si="45"/>
        <v>0</v>
      </c>
      <c r="E147" s="75">
        <f t="shared" si="45"/>
        <v>13263</v>
      </c>
      <c r="F147" s="75">
        <f t="shared" si="45"/>
        <v>6823</v>
      </c>
      <c r="G147" s="75">
        <f t="shared" si="45"/>
        <v>6822.25</v>
      </c>
      <c r="H147" s="75">
        <f t="shared" si="45"/>
        <v>1013.94</v>
      </c>
      <c r="I147" s="29"/>
      <c r="J147" s="29"/>
      <c r="K147" s="8"/>
      <c r="L147" s="8"/>
    </row>
    <row r="148" spans="1:12" ht="12.75">
      <c r="A148" s="67" t="s">
        <v>324</v>
      </c>
      <c r="B148" s="65" t="s">
        <v>339</v>
      </c>
      <c r="C148" s="75">
        <f>+C149</f>
        <v>0</v>
      </c>
      <c r="D148" s="75">
        <f t="shared" si="45"/>
        <v>0</v>
      </c>
      <c r="E148" s="75">
        <f t="shared" si="45"/>
        <v>13263</v>
      </c>
      <c r="F148" s="75">
        <f t="shared" si="45"/>
        <v>6823</v>
      </c>
      <c r="G148" s="75">
        <f t="shared" si="45"/>
        <v>6822.25</v>
      </c>
      <c r="H148" s="75">
        <f t="shared" si="45"/>
        <v>1013.94</v>
      </c>
      <c r="I148" s="29"/>
      <c r="J148" s="29"/>
      <c r="K148" s="8"/>
      <c r="L148" s="8"/>
    </row>
    <row r="149" spans="1:12" ht="12.75">
      <c r="A149" s="76" t="s">
        <v>325</v>
      </c>
      <c r="B149" s="86" t="s">
        <v>326</v>
      </c>
      <c r="C149" s="66">
        <f aca="true" t="shared" si="46" ref="C149:H149">C150</f>
        <v>0</v>
      </c>
      <c r="D149" s="66">
        <f t="shared" si="46"/>
        <v>0</v>
      </c>
      <c r="E149" s="66">
        <f t="shared" si="46"/>
        <v>13263</v>
      </c>
      <c r="F149" s="66">
        <f t="shared" si="46"/>
        <v>6823</v>
      </c>
      <c r="G149" s="66">
        <f t="shared" si="46"/>
        <v>6822.25</v>
      </c>
      <c r="H149" s="66">
        <f t="shared" si="46"/>
        <v>1013.94</v>
      </c>
      <c r="I149" s="29"/>
      <c r="J149" s="29"/>
      <c r="K149" s="8"/>
      <c r="L149" s="8"/>
    </row>
    <row r="150" spans="1:12" ht="12.75">
      <c r="A150" s="76" t="s">
        <v>327</v>
      </c>
      <c r="B150" s="86" t="s">
        <v>328</v>
      </c>
      <c r="C150" s="66">
        <f aca="true" t="shared" si="47" ref="C150:H150">C152+C153</f>
        <v>0</v>
      </c>
      <c r="D150" s="66">
        <f t="shared" si="47"/>
        <v>0</v>
      </c>
      <c r="E150" s="66">
        <f t="shared" si="47"/>
        <v>13263</v>
      </c>
      <c r="F150" s="66">
        <f t="shared" si="47"/>
        <v>6823</v>
      </c>
      <c r="G150" s="66">
        <f t="shared" si="47"/>
        <v>6822.25</v>
      </c>
      <c r="H150" s="66">
        <f t="shared" si="47"/>
        <v>1013.94</v>
      </c>
      <c r="I150" s="29"/>
      <c r="J150" s="29"/>
      <c r="K150" s="8"/>
      <c r="L150" s="8"/>
    </row>
    <row r="151" spans="1:12" ht="12.75">
      <c r="A151" s="67" t="s">
        <v>329</v>
      </c>
      <c r="B151" s="85" t="s">
        <v>330</v>
      </c>
      <c r="C151" s="66">
        <f aca="true" t="shared" si="48" ref="C151:H151">C152</f>
        <v>0</v>
      </c>
      <c r="D151" s="66">
        <f t="shared" si="48"/>
        <v>0</v>
      </c>
      <c r="E151" s="66">
        <f t="shared" si="48"/>
        <v>6592</v>
      </c>
      <c r="F151" s="66">
        <f t="shared" si="48"/>
        <v>3601</v>
      </c>
      <c r="G151" s="66">
        <f t="shared" si="48"/>
        <v>3600.9999999999995</v>
      </c>
      <c r="H151" s="66">
        <f t="shared" si="48"/>
        <v>487.02</v>
      </c>
      <c r="I151" s="29"/>
      <c r="K151" s="8"/>
      <c r="L151" s="8"/>
    </row>
    <row r="152" spans="1:12" ht="12.75">
      <c r="A152" s="76" t="s">
        <v>331</v>
      </c>
      <c r="B152" s="86" t="s">
        <v>332</v>
      </c>
      <c r="C152" s="69"/>
      <c r="D152" s="10"/>
      <c r="E152" s="7">
        <f>6000+380+212</f>
        <v>6592</v>
      </c>
      <c r="F152" s="7">
        <f>1474+380+1535+212</f>
        <v>3601</v>
      </c>
      <c r="G152" s="7">
        <f>559.16+401.08+430+463.75+389.96+240+630.03+349.99+137.03</f>
        <v>3600.9999999999995</v>
      </c>
      <c r="H152" s="7">
        <f>349.99+137.03</f>
        <v>487.02</v>
      </c>
      <c r="I152" s="29"/>
      <c r="J152" s="19">
        <v>430</v>
      </c>
      <c r="K152" s="8"/>
      <c r="L152" s="8"/>
    </row>
    <row r="153" spans="1:12" ht="12.75">
      <c r="A153" s="76" t="s">
        <v>333</v>
      </c>
      <c r="B153" s="86" t="s">
        <v>334</v>
      </c>
      <c r="C153" s="69"/>
      <c r="D153" s="10"/>
      <c r="E153" s="7">
        <f>6240+277+154</f>
        <v>6671</v>
      </c>
      <c r="F153" s="7">
        <f>1335+277+1456+154</f>
        <v>3222</v>
      </c>
      <c r="G153" s="7">
        <f>509.99+399.4+400.61+301.5+309.88+212.37+560.58+269.97+0.04+256.91</f>
        <v>3221.25</v>
      </c>
      <c r="H153" s="7">
        <f>269.97+0.04+256.91</f>
        <v>526.9200000000001</v>
      </c>
      <c r="I153" s="29"/>
      <c r="J153" s="19">
        <v>400</v>
      </c>
      <c r="K153" s="8"/>
      <c r="L153" s="8"/>
    </row>
    <row r="154" spans="1:8" ht="12.75">
      <c r="A154" s="67" t="s">
        <v>335</v>
      </c>
      <c r="B154" s="65" t="s">
        <v>336</v>
      </c>
      <c r="C154" s="66">
        <f aca="true" t="shared" si="49" ref="C154:H154">+C155</f>
        <v>0</v>
      </c>
      <c r="D154" s="66">
        <f t="shared" si="49"/>
        <v>0</v>
      </c>
      <c r="E154" s="66">
        <f t="shared" si="49"/>
        <v>0</v>
      </c>
      <c r="F154" s="66">
        <f t="shared" si="49"/>
        <v>0</v>
      </c>
      <c r="G154" s="66">
        <f t="shared" si="49"/>
        <v>0</v>
      </c>
      <c r="H154" s="66">
        <f t="shared" si="49"/>
        <v>0</v>
      </c>
    </row>
    <row r="155" spans="1:8" ht="25.5">
      <c r="A155" s="76" t="s">
        <v>337</v>
      </c>
      <c r="B155" s="70" t="s">
        <v>338</v>
      </c>
      <c r="C155" s="87"/>
      <c r="D155" s="10"/>
      <c r="E155" s="10"/>
      <c r="F155" s="10"/>
      <c r="G155" s="7"/>
      <c r="H155" s="7"/>
    </row>
    <row r="158" spans="2:6" ht="12.75">
      <c r="B158" s="119" t="s">
        <v>366</v>
      </c>
      <c r="C158" s="119"/>
      <c r="D158" s="119"/>
      <c r="E158" s="119" t="s">
        <v>367</v>
      </c>
      <c r="F158" s="119"/>
    </row>
    <row r="159" spans="2:6" ht="12.75">
      <c r="B159" s="119" t="s">
        <v>368</v>
      </c>
      <c r="C159" s="119"/>
      <c r="D159" s="119"/>
      <c r="E159" s="119" t="s">
        <v>369</v>
      </c>
      <c r="F159" s="119"/>
    </row>
  </sheetData>
  <sheetProtection/>
  <protectedRanges>
    <protectedRange sqref="B5:B6 C4:C6" name="Zonă1_1"/>
    <protectedRange sqref="G124:H124 G61:H61 G54:H58 G69:H73 G122:H122 G104:H107 G26:H30 G32:H35 G39:H44 G47:H49 G84:H88 G90:H92 G94:H102 G112:H113 G79:H81" name="Zonă3"/>
    <protectedRange sqref="B4"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2016-07-19T11:00:35Z</cp:lastPrinted>
  <dcterms:created xsi:type="dcterms:W3CDTF">2015-02-12T11:23:55Z</dcterms:created>
  <dcterms:modified xsi:type="dcterms:W3CDTF">2016-07-19T11:05:05Z</dcterms:modified>
  <cp:category/>
  <cp:version/>
  <cp:contentType/>
  <cp:contentStatus/>
</cp:coreProperties>
</file>